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60" activeTab="0"/>
  </bookViews>
  <sheets>
    <sheet name="2019年市属15家重点企业薪酬信息公开表" sheetId="1" r:id="rId1"/>
    <sheet name="Sheet1" sheetId="2" r:id="rId2"/>
  </sheets>
  <externalReferences>
    <externalReference r:id="rId5"/>
    <externalReference r:id="rId6"/>
  </externalReferences>
  <definedNames>
    <definedName name="_xlnm.Print_Titles" localSheetId="0">'2019年市属15家重点企业薪酬信息公开表'!$3:$3</definedName>
  </definedNames>
  <calcPr fullCalcOnLoad="1"/>
</workbook>
</file>

<file path=xl/sharedStrings.xml><?xml version="1.0" encoding="utf-8"?>
<sst xmlns="http://schemas.openxmlformats.org/spreadsheetml/2006/main" count="281" uniqueCount="172">
  <si>
    <t>2019年度海口市市属国有企业负责人薪酬福利情况公开表</t>
  </si>
  <si>
    <t>编制：海口市国资委</t>
  </si>
  <si>
    <t>时间：2020年10月20日</t>
  </si>
  <si>
    <t>单位:万元</t>
  </si>
  <si>
    <t>序号</t>
  </si>
  <si>
    <t>企业名称</t>
  </si>
  <si>
    <t>负责人  姓名</t>
  </si>
  <si>
    <t>负责人职务</t>
  </si>
  <si>
    <t>本年度任职时间</t>
  </si>
  <si>
    <t>本年度任职月数</t>
  </si>
  <si>
    <t>基本年薪</t>
  </si>
  <si>
    <t>绩效年薪</t>
  </si>
  <si>
    <t>任期激励收入</t>
  </si>
  <si>
    <t>应发年薪合计</t>
  </si>
  <si>
    <t>基本养老保险</t>
  </si>
  <si>
    <t>基本医疗保险</t>
  </si>
  <si>
    <t>失业保险</t>
  </si>
  <si>
    <t>工伤保险</t>
  </si>
  <si>
    <t>生育保险</t>
  </si>
  <si>
    <t xml:space="preserve">企业  年金   </t>
  </si>
  <si>
    <t>住房公积金</t>
  </si>
  <si>
    <t>其他福利项目</t>
  </si>
  <si>
    <t>社保及福利性待遇合计</t>
  </si>
  <si>
    <t>海口市城市建设投资有限公司</t>
  </si>
  <si>
    <t>马传壮</t>
  </si>
  <si>
    <t>党委副书记/总经理/董事</t>
  </si>
  <si>
    <t>2019.01.01-2019.12.31</t>
  </si>
  <si>
    <t>张丽珍</t>
  </si>
  <si>
    <t>党委副书记/纪委书记</t>
  </si>
  <si>
    <t>李洁蓉</t>
  </si>
  <si>
    <t>财务总监/董事</t>
  </si>
  <si>
    <t>陈一信</t>
  </si>
  <si>
    <t>党委委员/副总经理</t>
  </si>
  <si>
    <t>黄恒寿</t>
  </si>
  <si>
    <t>张竞</t>
  </si>
  <si>
    <t>副总经理</t>
  </si>
  <si>
    <t>符雁</t>
  </si>
  <si>
    <t>海口市水务集团有限公司</t>
  </si>
  <si>
    <t>邓新兵</t>
  </si>
  <si>
    <t>党委书记、
董事长</t>
  </si>
  <si>
    <t>2019.1.1-2019.12.31</t>
  </si>
  <si>
    <t>孙传志</t>
  </si>
  <si>
    <t>党委副书记、董事、总经理</t>
  </si>
  <si>
    <t>李以平</t>
  </si>
  <si>
    <t>党委副书记、纪委书记</t>
  </si>
  <si>
    <t>王和雄</t>
  </si>
  <si>
    <t>许汉鑫</t>
  </si>
  <si>
    <t>宋岚</t>
  </si>
  <si>
    <t>董事、
财务总监</t>
  </si>
  <si>
    <t>陆方中</t>
  </si>
  <si>
    <t>监事会主席</t>
  </si>
  <si>
    <t>张浩</t>
  </si>
  <si>
    <t>董事</t>
  </si>
  <si>
    <t>海口市城建集团有限公司</t>
  </si>
  <si>
    <t>符明全</t>
  </si>
  <si>
    <t>党委书记\董事长</t>
  </si>
  <si>
    <t>林书楠</t>
  </si>
  <si>
    <t>副书记\纪委书记</t>
  </si>
  <si>
    <t>吴海东</t>
  </si>
  <si>
    <t>董事\副总经理\委员</t>
  </si>
  <si>
    <t>陈金程</t>
  </si>
  <si>
    <t>毛昌成</t>
  </si>
  <si>
    <t>副总经理\委员</t>
  </si>
  <si>
    <t>彭俊林</t>
  </si>
  <si>
    <t>职工董事\工会主席\委员</t>
  </si>
  <si>
    <t>公交集团</t>
  </si>
  <si>
    <t>王燕雄</t>
  </si>
  <si>
    <t>董事长\总经理\书记</t>
  </si>
  <si>
    <t>张陈慧</t>
  </si>
  <si>
    <r>
      <t>副书记</t>
    </r>
    <r>
      <rPr>
        <sz val="12"/>
        <rFont val="Times New Roman"/>
        <family val="1"/>
      </rPr>
      <t>\</t>
    </r>
    <r>
      <rPr>
        <sz val="11"/>
        <color indexed="8"/>
        <rFont val="宋体"/>
        <family val="0"/>
      </rPr>
      <t>纪委书记</t>
    </r>
    <r>
      <rPr>
        <sz val="12"/>
        <rFont val="Times New Roman"/>
        <family val="1"/>
      </rPr>
      <t>\</t>
    </r>
    <r>
      <rPr>
        <sz val="11"/>
        <color indexed="8"/>
        <rFont val="宋体"/>
        <family val="0"/>
      </rPr>
      <t>副总经理</t>
    </r>
  </si>
  <si>
    <t>谢永东</t>
  </si>
  <si>
    <t>董事\财务总监</t>
  </si>
  <si>
    <t>王国捷</t>
  </si>
  <si>
    <t>赵  文</t>
  </si>
  <si>
    <t>海口市统筹城乡发展（集团）有限公司</t>
  </si>
  <si>
    <t>谢辉文</t>
  </si>
  <si>
    <t>董事长</t>
  </si>
  <si>
    <t>陈忠</t>
  </si>
  <si>
    <t>党委书记\总经理</t>
  </si>
  <si>
    <t>林尤炎</t>
  </si>
  <si>
    <t>高薇</t>
  </si>
  <si>
    <t>邢剑</t>
  </si>
  <si>
    <t>吴媛菲</t>
  </si>
  <si>
    <t>海口市地下综合管廊投资管理有限公司</t>
  </si>
  <si>
    <t>李欣</t>
  </si>
  <si>
    <t>党委书记、董事长</t>
  </si>
  <si>
    <t>刘建中</t>
  </si>
  <si>
    <t>党委副书记、纪委书记、董事</t>
  </si>
  <si>
    <t>余海涛</t>
  </si>
  <si>
    <t>党委委员、副总经理、财务总监</t>
  </si>
  <si>
    <t>关通</t>
  </si>
  <si>
    <t>党委委员、副总经理</t>
  </si>
  <si>
    <t>海口投资管理有限公司</t>
  </si>
  <si>
    <t>吴仁武</t>
  </si>
  <si>
    <t>海口市菜篮子产业集团有限责任公司</t>
  </si>
  <si>
    <t>王敏</t>
  </si>
  <si>
    <t>王维福</t>
  </si>
  <si>
    <t>2019.3.1-2019.12.31</t>
  </si>
  <si>
    <t>张继良</t>
  </si>
  <si>
    <t>陈小燕</t>
  </si>
  <si>
    <t>党委委员、财务总监</t>
  </si>
  <si>
    <t>海口市三江农场发展控股有限公司</t>
  </si>
  <si>
    <t>陈辉</t>
  </si>
  <si>
    <t>周经业</t>
  </si>
  <si>
    <t>副场长</t>
  </si>
  <si>
    <t>2019.1.1-2019.5.19</t>
  </si>
  <si>
    <t>党委副书记\总经理</t>
  </si>
  <si>
    <t>2019.5.20-2019.12.31</t>
  </si>
  <si>
    <t>卓忠勇</t>
  </si>
  <si>
    <t>党委副书记\纪委书记</t>
  </si>
  <si>
    <t>洪理庄</t>
  </si>
  <si>
    <t>党委委员\副总经理</t>
  </si>
  <si>
    <t>海口市国有资产经营有限公司</t>
  </si>
  <si>
    <t>徐海波</t>
  </si>
  <si>
    <t>郑振海</t>
  </si>
  <si>
    <t>党委副书记、总经理</t>
  </si>
  <si>
    <t>丁云</t>
  </si>
  <si>
    <t>饶哲</t>
  </si>
  <si>
    <t>董事、副总经理</t>
  </si>
  <si>
    <t>林伟</t>
  </si>
  <si>
    <t>陈燕</t>
  </si>
  <si>
    <t>董事、财务总监</t>
  </si>
  <si>
    <t>吕萍</t>
  </si>
  <si>
    <t>党委委员、工会主席</t>
  </si>
  <si>
    <t>陈盛松</t>
  </si>
  <si>
    <r>
      <t>2019.</t>
    </r>
    <r>
      <rPr>
        <sz val="12"/>
        <color indexed="8"/>
        <rFont val="宋体"/>
        <family val="0"/>
      </rPr>
      <t>3</t>
    </r>
    <r>
      <rPr>
        <sz val="12"/>
        <color indexed="8"/>
        <rFont val="宋体"/>
        <family val="0"/>
      </rPr>
      <t>.1</t>
    </r>
    <r>
      <rPr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>-2019.12.31</t>
    </r>
  </si>
  <si>
    <t>海口旅游文化投资控股集团有限公司</t>
  </si>
  <si>
    <t>杨晓峰</t>
  </si>
  <si>
    <t>朱俊</t>
  </si>
  <si>
    <t>党委副书记/总经理</t>
  </si>
  <si>
    <t>宋振涛</t>
  </si>
  <si>
    <t>秦有军</t>
  </si>
  <si>
    <t>党委委员、副董事长</t>
  </si>
  <si>
    <t>杨飞</t>
  </si>
  <si>
    <t>苑会颖</t>
  </si>
  <si>
    <t>郑瑞平</t>
  </si>
  <si>
    <t>林天蒂</t>
  </si>
  <si>
    <t>海口市金融控股有限公司</t>
  </si>
  <si>
    <t>王治平</t>
  </si>
  <si>
    <t>许海果</t>
  </si>
  <si>
    <t>党委副书记\董事\总经理</t>
  </si>
  <si>
    <t>罗勤</t>
  </si>
  <si>
    <t>贾颖</t>
  </si>
  <si>
    <t>董事\副总经理\党委委员</t>
  </si>
  <si>
    <t>李秀芬</t>
  </si>
  <si>
    <t>董事\财务总监\党委委员</t>
  </si>
  <si>
    <t>潘中连</t>
  </si>
  <si>
    <t>海口市医疗健康产业投资有限公司</t>
  </si>
  <si>
    <t>黄山</t>
  </si>
  <si>
    <t>陈植川</t>
  </si>
  <si>
    <t>王爽</t>
  </si>
  <si>
    <t>海口市环境发展有限公司</t>
  </si>
  <si>
    <t>章黔</t>
  </si>
  <si>
    <t>党委书记       董事长</t>
  </si>
  <si>
    <t>周小勇</t>
  </si>
  <si>
    <t>党委副书记    总经理</t>
  </si>
  <si>
    <t>林明智</t>
  </si>
  <si>
    <t>党委副书记     纪委书记</t>
  </si>
  <si>
    <t>黎健</t>
  </si>
  <si>
    <t>党委委员      副总经理</t>
  </si>
  <si>
    <t>2019.5.1-2019.12.31</t>
  </si>
  <si>
    <t>罗鸣</t>
  </si>
  <si>
    <t>海口市能源集团有限公司</t>
  </si>
  <si>
    <t>祁勇</t>
  </si>
  <si>
    <t>党委书记      董事长</t>
  </si>
  <si>
    <t>赵书良</t>
  </si>
  <si>
    <t>杨咏</t>
  </si>
  <si>
    <t>刘学峰</t>
  </si>
  <si>
    <t>董事          财务总监</t>
  </si>
  <si>
    <t>周辉</t>
  </si>
  <si>
    <t>2019.3.12-2019.12.31</t>
  </si>
  <si>
    <t>注：企业负责人应发薪酬为税前应发数，包含个人应缴纳的社保及住房公积金、企业年金；栏内各项社保及住房公积金、企业年金是企业为个人缴纳的部分。本表未包含企业负责人的公务交通补贴。各项数值均保留小数点后两位小数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</si>
</sst>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d&quot;日&quot;;@"/>
    <numFmt numFmtId="178" formatCode="0_);[Red]\(0\)"/>
  </numFmts>
  <fonts count="57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b/>
      <sz val="12"/>
      <color indexed="8"/>
      <name val="仿宋_GB2312"/>
      <family val="3"/>
    </font>
    <font>
      <sz val="11"/>
      <name val="仿宋_GB2312"/>
      <family val="3"/>
    </font>
    <font>
      <sz val="12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  <font>
      <sz val="12"/>
      <color indexed="8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1"/>
      <color rgb="FF000000"/>
      <name val="Calibri"/>
      <family val="0"/>
    </font>
    <font>
      <sz val="12"/>
      <name val="Calibri"/>
      <family val="0"/>
    </font>
    <font>
      <sz val="12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0" borderId="0">
      <alignment vertical="center"/>
      <protection/>
    </xf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8" fillId="0" borderId="0">
      <alignment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0" borderId="0">
      <alignment vertical="center"/>
      <protection/>
    </xf>
    <xf numFmtId="0" fontId="8" fillId="0" borderId="0">
      <alignment/>
      <protection/>
    </xf>
  </cellStyleXfs>
  <cellXfs count="8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0" fontId="5" fillId="0" borderId="0" xfId="0" applyFont="1" applyAlignment="1">
      <alignment vertical="center"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33" borderId="9" xfId="0" applyNumberFormat="1" applyFont="1" applyFill="1" applyBorder="1" applyAlignment="1" applyProtection="1">
      <alignment horizontal="center" vertical="center" wrapText="1"/>
      <protection/>
    </xf>
    <xf numFmtId="0" fontId="35" fillId="0" borderId="9" xfId="0" applyNumberFormat="1" applyFont="1" applyFill="1" applyBorder="1" applyAlignment="1" applyProtection="1">
      <alignment horizontal="center" vertical="center" wrapText="1"/>
      <protection/>
    </xf>
    <xf numFmtId="0" fontId="35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9" xfId="66" applyFont="1" applyFill="1" applyBorder="1" applyAlignment="1">
      <alignment horizontal="center" vertical="center"/>
      <protection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49" fillId="0" borderId="9" xfId="0" applyNumberFormat="1" applyFont="1" applyFill="1" applyBorder="1" applyAlignment="1">
      <alignment horizontal="center" vertical="center" wrapText="1"/>
    </xf>
    <xf numFmtId="176" fontId="50" fillId="33" borderId="9" xfId="0" applyNumberFormat="1" applyFont="1" applyFill="1" applyBorder="1" applyAlignment="1">
      <alignment horizontal="center" vertical="center"/>
    </xf>
    <xf numFmtId="0" fontId="35" fillId="0" borderId="11" xfId="0" applyNumberFormat="1" applyFont="1" applyFill="1" applyBorder="1" applyAlignment="1" applyProtection="1">
      <alignment horizontal="center" vertical="center" wrapText="1"/>
      <protection/>
    </xf>
    <xf numFmtId="0" fontId="35" fillId="0" borderId="12" xfId="0" applyNumberFormat="1" applyFont="1" applyFill="1" applyBorder="1" applyAlignment="1" applyProtection="1">
      <alignment horizontal="center" vertical="center" wrapText="1"/>
      <protection/>
    </xf>
    <xf numFmtId="0" fontId="29" fillId="0" borderId="9" xfId="0" applyFont="1" applyFill="1" applyBorder="1" applyAlignment="1">
      <alignment horizontal="center" vertical="center" wrapText="1"/>
    </xf>
    <xf numFmtId="177" fontId="29" fillId="33" borderId="9" xfId="0" applyNumberFormat="1" applyFont="1" applyFill="1" applyBorder="1" applyAlignment="1">
      <alignment horizontal="center" vertical="center" wrapText="1"/>
    </xf>
    <xf numFmtId="0" fontId="29" fillId="33" borderId="9" xfId="0" applyNumberFormat="1" applyFont="1" applyFill="1" applyBorder="1" applyAlignment="1">
      <alignment horizontal="center" vertical="center" wrapText="1"/>
    </xf>
    <xf numFmtId="0" fontId="29" fillId="33" borderId="9" xfId="0" applyFont="1" applyFill="1" applyBorder="1" applyAlignment="1">
      <alignment horizontal="center" vertical="center" wrapText="1"/>
    </xf>
    <xf numFmtId="0" fontId="0" fillId="34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 applyProtection="1">
      <alignment horizontal="center" vertical="center" wrapText="1"/>
      <protection/>
    </xf>
    <xf numFmtId="0" fontId="52" fillId="0" borderId="9" xfId="0" applyFont="1" applyFill="1" applyBorder="1" applyAlignment="1">
      <alignment horizontal="center" vertical="center" wrapText="1"/>
    </xf>
    <xf numFmtId="177" fontId="52" fillId="33" borderId="9" xfId="0" applyNumberFormat="1" applyFont="1" applyFill="1" applyBorder="1" applyAlignment="1">
      <alignment horizontal="center" vertical="center" wrapText="1"/>
    </xf>
    <xf numFmtId="0" fontId="52" fillId="33" borderId="9" xfId="0" applyNumberFormat="1" applyFont="1" applyFill="1" applyBorder="1" applyAlignment="1">
      <alignment horizontal="center" vertical="center" wrapText="1"/>
    </xf>
    <xf numFmtId="176" fontId="53" fillId="33" borderId="9" xfId="0" applyNumberFormat="1" applyFont="1" applyFill="1" applyBorder="1" applyAlignment="1">
      <alignment horizontal="center" vertical="center"/>
    </xf>
    <xf numFmtId="0" fontId="51" fillId="0" borderId="11" xfId="0" applyNumberFormat="1" applyFont="1" applyFill="1" applyBorder="1" applyAlignment="1" applyProtection="1">
      <alignment horizontal="center" vertical="center" wrapText="1"/>
      <protection/>
    </xf>
    <xf numFmtId="0" fontId="52" fillId="33" borderId="9" xfId="0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/>
    </xf>
    <xf numFmtId="0" fontId="53" fillId="33" borderId="9" xfId="0" applyFont="1" applyFill="1" applyBorder="1" applyAlignment="1">
      <alignment horizontal="center" vertical="center" wrapText="1"/>
    </xf>
    <xf numFmtId="0" fontId="0" fillId="0" borderId="9" xfId="23" applyFont="1" applyFill="1" applyBorder="1" applyAlignment="1">
      <alignment horizontal="center" vertical="center" wrapText="1"/>
      <protection/>
    </xf>
    <xf numFmtId="0" fontId="0" fillId="0" borderId="9" xfId="23" applyFont="1" applyFill="1" applyBorder="1" applyAlignment="1">
      <alignment horizontal="left" vertical="center" wrapText="1"/>
      <protection/>
    </xf>
    <xf numFmtId="49" fontId="0" fillId="0" borderId="9" xfId="23" applyNumberFormat="1" applyFont="1" applyBorder="1" applyAlignment="1">
      <alignment horizontal="center" vertical="center" wrapText="1"/>
      <protection/>
    </xf>
    <xf numFmtId="0" fontId="0" fillId="0" borderId="9" xfId="23" applyFont="1" applyBorder="1" applyAlignment="1">
      <alignment horizontal="left" vertical="center" wrapText="1"/>
      <protection/>
    </xf>
    <xf numFmtId="0" fontId="0" fillId="0" borderId="9" xfId="23" applyFont="1" applyBorder="1" applyAlignment="1">
      <alignment horizontal="center" vertical="center" wrapText="1"/>
      <protection/>
    </xf>
    <xf numFmtId="0" fontId="51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23" applyFont="1" applyFill="1" applyBorder="1" applyAlignment="1">
      <alignment horizontal="center" vertical="center" wrapText="1"/>
      <protection/>
    </xf>
    <xf numFmtId="0" fontId="8" fillId="0" borderId="9" xfId="23" applyFont="1" applyBorder="1" applyAlignment="1">
      <alignment horizontal="center" vertical="center" wrapText="1"/>
      <protection/>
    </xf>
    <xf numFmtId="4" fontId="50" fillId="33" borderId="10" xfId="0" applyNumberFormat="1" applyFont="1" applyFill="1" applyBorder="1" applyAlignment="1">
      <alignment horizontal="center" vertical="center" wrapText="1"/>
    </xf>
    <xf numFmtId="4" fontId="53" fillId="0" borderId="9" xfId="0" applyNumberFormat="1" applyFont="1" applyFill="1" applyBorder="1" applyAlignment="1">
      <alignment horizontal="center" vertical="center"/>
    </xf>
    <xf numFmtId="4" fontId="53" fillId="0" borderId="9" xfId="0" applyNumberFormat="1" applyFont="1" applyFill="1" applyBorder="1" applyAlignment="1">
      <alignment horizontal="center" vertical="center" wrapText="1"/>
    </xf>
    <xf numFmtId="4" fontId="53" fillId="33" borderId="9" xfId="0" applyNumberFormat="1" applyFont="1" applyFill="1" applyBorder="1" applyAlignment="1">
      <alignment horizontal="center" vertical="center" wrapText="1"/>
    </xf>
    <xf numFmtId="3" fontId="53" fillId="33" borderId="9" xfId="0" applyNumberFormat="1" applyFont="1" applyFill="1" applyBorder="1" applyAlignment="1">
      <alignment horizontal="center" vertical="center"/>
    </xf>
    <xf numFmtId="4" fontId="50" fillId="33" borderId="11" xfId="0" applyNumberFormat="1" applyFont="1" applyFill="1" applyBorder="1" applyAlignment="1">
      <alignment horizontal="center" vertical="center" wrapText="1"/>
    </xf>
    <xf numFmtId="4" fontId="53" fillId="33" borderId="9" xfId="0" applyNumberFormat="1" applyFont="1" applyFill="1" applyBorder="1" applyAlignment="1">
      <alignment horizontal="center" vertical="center"/>
    </xf>
    <xf numFmtId="4" fontId="50" fillId="33" borderId="12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23" applyFont="1" applyFill="1" applyBorder="1" applyAlignment="1">
      <alignment horizontal="left" vertical="center" wrapText="1"/>
      <protection/>
    </xf>
    <xf numFmtId="177" fontId="5" fillId="34" borderId="9" xfId="0" applyNumberFormat="1" applyFont="1" applyFill="1" applyBorder="1" applyAlignment="1">
      <alignment horizontal="center" vertical="center" wrapText="1"/>
    </xf>
    <xf numFmtId="0" fontId="5" fillId="34" borderId="9" xfId="0" applyNumberFormat="1" applyFont="1" applyFill="1" applyBorder="1" applyAlignment="1">
      <alignment horizontal="center" vertical="center" wrapText="1"/>
    </xf>
    <xf numFmtId="176" fontId="5" fillId="34" borderId="9" xfId="0" applyNumberFormat="1" applyFont="1" applyFill="1" applyBorder="1" applyAlignment="1">
      <alignment horizontal="center" vertical="center"/>
    </xf>
    <xf numFmtId="0" fontId="35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23" applyFont="1" applyBorder="1" applyAlignment="1">
      <alignment horizontal="left" vertical="center" wrapText="1"/>
      <protection/>
    </xf>
    <xf numFmtId="0" fontId="51" fillId="0" borderId="12" xfId="0" applyNumberFormat="1" applyFont="1" applyFill="1" applyBorder="1" applyAlignment="1" applyProtection="1">
      <alignment horizontal="center" vertical="center" wrapText="1"/>
      <protection/>
    </xf>
    <xf numFmtId="0" fontId="52" fillId="0" borderId="9" xfId="0" applyNumberFormat="1" applyFont="1" applyFill="1" applyBorder="1" applyAlignment="1">
      <alignment horizontal="center" vertical="center" wrapText="1"/>
    </xf>
    <xf numFmtId="176" fontId="53" fillId="0" borderId="9" xfId="0" applyNumberFormat="1" applyFont="1" applyFill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178" fontId="54" fillId="0" borderId="9" xfId="0" applyNumberFormat="1" applyFont="1" applyFill="1" applyBorder="1" applyAlignment="1">
      <alignment horizontal="center" vertical="center" wrapText="1"/>
    </xf>
    <xf numFmtId="176" fontId="54" fillId="0" borderId="9" xfId="0" applyNumberFormat="1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176" fontId="55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176" fontId="55" fillId="33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/>
    </xf>
    <xf numFmtId="176" fontId="56" fillId="0" borderId="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34" borderId="10" xfId="0" applyNumberFormat="1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horizontal="center" vertical="center" wrapText="1"/>
    </xf>
    <xf numFmtId="176" fontId="5" fillId="34" borderId="12" xfId="0" applyNumberFormat="1" applyFont="1" applyFill="1" applyBorder="1" applyAlignment="1">
      <alignment vertical="center"/>
    </xf>
    <xf numFmtId="176" fontId="8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/>
    </xf>
    <xf numFmtId="176" fontId="49" fillId="33" borderId="9" xfId="22" applyNumberFormat="1" applyFont="1" applyFill="1" applyBorder="1" applyAlignment="1">
      <alignment horizontal="center" vertical="center" wrapText="1"/>
    </xf>
    <xf numFmtId="176" fontId="55" fillId="33" borderId="9" xfId="22" applyNumberFormat="1" applyFont="1" applyFill="1" applyBorder="1" applyAlignment="1">
      <alignment horizontal="center" vertical="center" wrapText="1"/>
    </xf>
    <xf numFmtId="176" fontId="8" fillId="34" borderId="9" xfId="22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76" fontId="55" fillId="0" borderId="9" xfId="22" applyNumberFormat="1" applyFont="1" applyFill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/>
    </xf>
    <xf numFmtId="0" fontId="0" fillId="34" borderId="9" xfId="0" applyFont="1" applyFill="1" applyBorder="1" applyAlignment="1" quotePrefix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15家企业汇总201912海口市市属重点监管企业党政领导班子成员花名册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_Sheet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0154;&#20107;\&#24037;&#36164;\&#20225;&#19994;&#36127;&#36131;&#20154;&#34218;&#37228;\2019&#24180;&#24230;\&#31038;&#20445;&#30003;&#25253;&#3492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0154;&#20107;\&#24037;&#36164;\&#20225;&#19994;&#36127;&#36131;&#20154;&#34218;&#37228;\2019&#24180;&#24230;\&#20844;&#31215;&#37329;&#30003;&#25253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申报表2017.06"/>
      <sheetName val="明细表2017.06"/>
      <sheetName val="汇总申报表2017.07"/>
      <sheetName val="明细表2017.07"/>
      <sheetName val="汇总申报表2017.08"/>
      <sheetName val="明细表2017.08"/>
      <sheetName val="汇总申报表2017.09"/>
      <sheetName val="明细表2017.09"/>
      <sheetName val="明细表2017.10"/>
      <sheetName val="明细表2017.11"/>
      <sheetName val="明细表2017.12"/>
      <sheetName val="汇总申报表2018.01"/>
      <sheetName val="明细表2018.01"/>
      <sheetName val="汇总申报表2018.02-根据年终奖调整（作废）"/>
      <sheetName val="明细表2018.02-根据年终奖调整（作废）"/>
      <sheetName val="汇总申报表2018.02"/>
      <sheetName val="明细表2018.02"/>
      <sheetName val="汇总申报表2018.03"/>
      <sheetName val="明细表2018.03"/>
      <sheetName val="汇总申报表2018.04"/>
      <sheetName val="明细表2018.04"/>
      <sheetName val="汇总申报表2018.05"/>
      <sheetName val="明细表2018.05"/>
      <sheetName val="汇总申报表2018.06"/>
      <sheetName val="明细表2018.06"/>
      <sheetName val="汇总申报表2018.07"/>
      <sheetName val="明细表2018.07"/>
      <sheetName val="汇总申报表2018.08"/>
      <sheetName val="明细表2018.08"/>
      <sheetName val="汇总申报表2018.09"/>
      <sheetName val="明细表2018.09"/>
      <sheetName val="汇总申报表2018.10"/>
      <sheetName val="明细表2018.10"/>
      <sheetName val="汇总申报表2018.11"/>
      <sheetName val="明细表2018.11"/>
      <sheetName val="汇总申报表2018.12"/>
      <sheetName val="明细表2018.12"/>
      <sheetName val="汇总申报表2019.01"/>
      <sheetName val="明细表2019.01"/>
      <sheetName val="汇总申报表2019.02"/>
      <sheetName val="明细表2019.02"/>
      <sheetName val="汇总申报表2019.03"/>
      <sheetName val="明细表2019.03"/>
      <sheetName val="汇总申报表2019.04"/>
      <sheetName val="明细表2019.04"/>
      <sheetName val="汇总申报表2019.05"/>
      <sheetName val="明细表2019.05"/>
      <sheetName val="汇总申报表2019.06"/>
      <sheetName val="明细表2019.06"/>
      <sheetName val="汇总申报表2019.07"/>
      <sheetName val="明细表2019.07"/>
      <sheetName val="汇总申报表2019.08"/>
      <sheetName val="明细表2019.08"/>
      <sheetName val="汇总申报表2019.09"/>
      <sheetName val="明细表2019.09"/>
      <sheetName val="汇总申报表2019.10"/>
      <sheetName val="明细表2019.10"/>
      <sheetName val="汇总申报表2019.11"/>
      <sheetName val="明细表2019.11"/>
      <sheetName val="汇总申报表2019.12"/>
      <sheetName val="明细表2019.12"/>
      <sheetName val="汇总申报表2020.01"/>
      <sheetName val="明细表2020.01"/>
      <sheetName val="汇总申报表2020.02"/>
      <sheetName val="明细表2020.02"/>
      <sheetName val="汇总申报表2020.03"/>
      <sheetName val="明细表2020.03"/>
    </sheetNames>
    <sheetDataSet>
      <sheetData sheetId="38">
        <row r="5">
          <cell r="E5">
            <v>3280.35</v>
          </cell>
          <cell r="I5">
            <v>1381.2</v>
          </cell>
          <cell r="L5">
            <v>17.27</v>
          </cell>
          <cell r="M5">
            <v>86.33</v>
          </cell>
          <cell r="P5">
            <v>86.33</v>
          </cell>
        </row>
      </sheetData>
      <sheetData sheetId="46">
        <row r="5">
          <cell r="E5">
            <v>2762.4</v>
          </cell>
        </row>
      </sheetData>
      <sheetData sheetId="50">
        <row r="5">
          <cell r="E5">
            <v>2737.92</v>
          </cell>
          <cell r="I5">
            <v>1368.96</v>
          </cell>
          <cell r="L5">
            <v>17.11</v>
          </cell>
          <cell r="M5">
            <v>85.56</v>
          </cell>
          <cell r="P5">
            <v>85.56</v>
          </cell>
        </row>
      </sheetData>
      <sheetData sheetId="56">
        <row r="5">
          <cell r="I5">
            <v>1454.52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901"/>
      <sheetName val="201902"/>
      <sheetName val="201903"/>
      <sheetName val="201904"/>
      <sheetName val="201905"/>
      <sheetName val="201906"/>
      <sheetName val="201907"/>
      <sheetName val="201908"/>
      <sheetName val="201909"/>
      <sheetName val="201910"/>
      <sheetName val="201911"/>
      <sheetName val="201912"/>
      <sheetName val="202001"/>
      <sheetName val="202002"/>
      <sheetName val="202003"/>
    </sheetNames>
    <sheetDataSet>
      <sheetData sheetId="0">
        <row r="7">
          <cell r="H7">
            <v>2041</v>
          </cell>
        </row>
      </sheetData>
      <sheetData sheetId="6">
        <row r="7">
          <cell r="H7">
            <v>2278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5"/>
  <sheetViews>
    <sheetView tabSelected="1" zoomScaleSheetLayoutView="100" workbookViewId="0" topLeftCell="A1">
      <selection activeCell="G79" sqref="G79"/>
    </sheetView>
  </sheetViews>
  <sheetFormatPr defaultColWidth="9.00390625" defaultRowHeight="13.5" customHeight="1"/>
  <cols>
    <col min="1" max="1" width="3.625" style="1" customWidth="1"/>
    <col min="2" max="3" width="7.625" style="1" customWidth="1"/>
    <col min="4" max="4" width="12.50390625" style="1" customWidth="1"/>
    <col min="5" max="5" width="12.375" style="1" customWidth="1"/>
    <col min="6" max="6" width="6.50390625" style="1" customWidth="1"/>
    <col min="7" max="7" width="9.875" style="1" customWidth="1"/>
    <col min="8" max="8" width="9.75390625" style="1" customWidth="1"/>
    <col min="9" max="9" width="5.375" style="1" customWidth="1"/>
    <col min="10" max="10" width="9.875" style="1" customWidth="1"/>
    <col min="11" max="11" width="8.875" style="1" customWidth="1"/>
    <col min="12" max="12" width="8.375" style="1" customWidth="1"/>
    <col min="13" max="15" width="6.875" style="1" customWidth="1"/>
    <col min="16" max="16" width="6.375" style="1" customWidth="1"/>
    <col min="17" max="17" width="7.75390625" style="1" customWidth="1"/>
    <col min="18" max="18" width="7.25390625" style="1" customWidth="1"/>
    <col min="19" max="19" width="9.125" style="1" customWidth="1"/>
    <col min="20" max="16384" width="9.00390625" style="1" customWidth="1"/>
  </cols>
  <sheetData>
    <row r="1" spans="1:19" ht="31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customHeight="1">
      <c r="A2" s="3" t="s">
        <v>1</v>
      </c>
      <c r="B2" s="3"/>
      <c r="C2" s="3"/>
      <c r="D2" s="3"/>
      <c r="E2" s="3"/>
      <c r="F2" s="3"/>
      <c r="G2" s="3"/>
      <c r="H2" s="4"/>
      <c r="I2" s="4"/>
      <c r="J2" s="59" t="s">
        <v>2</v>
      </c>
      <c r="K2" s="59"/>
      <c r="L2" s="59"/>
      <c r="M2" s="60"/>
      <c r="N2" s="61"/>
      <c r="O2" s="61"/>
      <c r="P2" s="61"/>
      <c r="Q2" s="76" t="s">
        <v>3</v>
      </c>
      <c r="R2" s="76"/>
      <c r="S2" s="4"/>
    </row>
    <row r="3" spans="1:19" ht="43.5" customHeight="1">
      <c r="A3" s="5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5" t="s">
        <v>14</v>
      </c>
      <c r="L3" s="5" t="s">
        <v>15</v>
      </c>
      <c r="M3" s="6" t="s">
        <v>16</v>
      </c>
      <c r="N3" s="6" t="s">
        <v>17</v>
      </c>
      <c r="O3" s="6" t="s">
        <v>18</v>
      </c>
      <c r="P3" s="5" t="s">
        <v>19</v>
      </c>
      <c r="Q3" s="5" t="s">
        <v>20</v>
      </c>
      <c r="R3" s="5" t="s">
        <v>21</v>
      </c>
      <c r="S3" s="5" t="s">
        <v>22</v>
      </c>
    </row>
    <row r="4" spans="1:21" ht="30" customHeight="1">
      <c r="A4" s="7">
        <v>1</v>
      </c>
      <c r="B4" s="8" t="s">
        <v>23</v>
      </c>
      <c r="C4" s="9" t="s">
        <v>24</v>
      </c>
      <c r="D4" s="10" t="s">
        <v>25</v>
      </c>
      <c r="E4" s="11" t="s">
        <v>26</v>
      </c>
      <c r="F4" s="12">
        <v>12</v>
      </c>
      <c r="G4" s="13">
        <f>15.75*1</f>
        <v>15.75</v>
      </c>
      <c r="H4" s="13">
        <v>32.529</v>
      </c>
      <c r="I4" s="62">
        <v>0</v>
      </c>
      <c r="J4" s="13">
        <f>SUM(G4:I4)</f>
        <v>48.279</v>
      </c>
      <c r="K4" s="63">
        <v>3.51</v>
      </c>
      <c r="L4" s="63">
        <v>1.68</v>
      </c>
      <c r="M4" s="63">
        <v>0.1</v>
      </c>
      <c r="N4" s="63">
        <v>0.04</v>
      </c>
      <c r="O4" s="63">
        <v>0.08</v>
      </c>
      <c r="P4" s="63">
        <v>0</v>
      </c>
      <c r="Q4" s="63">
        <v>2.59</v>
      </c>
      <c r="R4" s="26">
        <v>0</v>
      </c>
      <c r="S4" s="63">
        <f>SUM(K4:R4)</f>
        <v>7.999999999999999</v>
      </c>
      <c r="T4" s="77"/>
      <c r="U4" s="77"/>
    </row>
    <row r="5" spans="1:21" ht="30" customHeight="1">
      <c r="A5" s="7">
        <v>2</v>
      </c>
      <c r="B5" s="14"/>
      <c r="C5" s="9" t="s">
        <v>27</v>
      </c>
      <c r="D5" s="10" t="s">
        <v>28</v>
      </c>
      <c r="E5" s="11" t="s">
        <v>26</v>
      </c>
      <c r="F5" s="12">
        <v>12</v>
      </c>
      <c r="G5" s="13">
        <f>15.75*0.885</f>
        <v>13.93875</v>
      </c>
      <c r="H5" s="13">
        <f>H4*0.885</f>
        <v>28.788165000000003</v>
      </c>
      <c r="I5" s="62">
        <v>0</v>
      </c>
      <c r="J5" s="13">
        <f aca="true" t="shared" si="0" ref="J5:J10">SUM(G5:I5)</f>
        <v>42.726915000000005</v>
      </c>
      <c r="K5" s="63">
        <v>3.51</v>
      </c>
      <c r="L5" s="63">
        <v>1.68</v>
      </c>
      <c r="M5" s="63">
        <v>0.1</v>
      </c>
      <c r="N5" s="63">
        <v>0.04</v>
      </c>
      <c r="O5" s="63">
        <v>0.08</v>
      </c>
      <c r="P5" s="63">
        <v>0</v>
      </c>
      <c r="Q5" s="63">
        <v>2.59</v>
      </c>
      <c r="R5" s="26">
        <v>0</v>
      </c>
      <c r="S5" s="63">
        <f aca="true" t="shared" si="1" ref="S5:S10">SUM(K5:R5)</f>
        <v>7.999999999999999</v>
      </c>
      <c r="T5" s="77"/>
      <c r="U5" s="77"/>
    </row>
    <row r="6" spans="1:21" ht="30" customHeight="1">
      <c r="A6" s="7">
        <v>3</v>
      </c>
      <c r="B6" s="14"/>
      <c r="C6" s="9" t="s">
        <v>29</v>
      </c>
      <c r="D6" s="10" t="s">
        <v>30</v>
      </c>
      <c r="E6" s="11" t="s">
        <v>26</v>
      </c>
      <c r="F6" s="12">
        <v>12</v>
      </c>
      <c r="G6" s="13">
        <f>15.75*0.9</f>
        <v>14.175</v>
      </c>
      <c r="H6" s="13">
        <f>H4*0.9</f>
        <v>29.276100000000003</v>
      </c>
      <c r="I6" s="62">
        <v>0</v>
      </c>
      <c r="J6" s="13">
        <f t="shared" si="0"/>
        <v>43.451100000000004</v>
      </c>
      <c r="K6" s="63">
        <v>3.51</v>
      </c>
      <c r="L6" s="63">
        <v>1.68</v>
      </c>
      <c r="M6" s="63">
        <v>0.1</v>
      </c>
      <c r="N6" s="63">
        <v>0.04</v>
      </c>
      <c r="O6" s="63">
        <v>0.08</v>
      </c>
      <c r="P6" s="63">
        <v>0</v>
      </c>
      <c r="Q6" s="63">
        <v>2.59</v>
      </c>
      <c r="R6" s="26">
        <v>0</v>
      </c>
      <c r="S6" s="63">
        <f t="shared" si="1"/>
        <v>7.999999999999999</v>
      </c>
      <c r="T6" s="77"/>
      <c r="U6" s="77"/>
    </row>
    <row r="7" spans="1:21" ht="30" customHeight="1">
      <c r="A7" s="7">
        <v>4</v>
      </c>
      <c r="B7" s="14"/>
      <c r="C7" s="9" t="s">
        <v>31</v>
      </c>
      <c r="D7" s="10" t="s">
        <v>32</v>
      </c>
      <c r="E7" s="11" t="s">
        <v>26</v>
      </c>
      <c r="F7" s="12">
        <v>12</v>
      </c>
      <c r="G7" s="13">
        <f>15.75*0.892</f>
        <v>14.049</v>
      </c>
      <c r="H7" s="13">
        <f>H4*0.892</f>
        <v>29.015868000000005</v>
      </c>
      <c r="I7" s="62">
        <v>0</v>
      </c>
      <c r="J7" s="13">
        <f t="shared" si="0"/>
        <v>43.064868000000004</v>
      </c>
      <c r="K7" s="63">
        <v>3.51</v>
      </c>
      <c r="L7" s="63">
        <v>1.68</v>
      </c>
      <c r="M7" s="63">
        <v>0.1</v>
      </c>
      <c r="N7" s="63">
        <v>0.04</v>
      </c>
      <c r="O7" s="63">
        <v>0.08</v>
      </c>
      <c r="P7" s="63">
        <v>0</v>
      </c>
      <c r="Q7" s="63">
        <v>2.59</v>
      </c>
      <c r="R7" s="26">
        <v>0</v>
      </c>
      <c r="S7" s="63">
        <f t="shared" si="1"/>
        <v>7.999999999999999</v>
      </c>
      <c r="T7" s="77"/>
      <c r="U7" s="77"/>
    </row>
    <row r="8" spans="1:21" ht="30" customHeight="1">
      <c r="A8" s="7">
        <v>5</v>
      </c>
      <c r="B8" s="14"/>
      <c r="C8" s="9" t="s">
        <v>33</v>
      </c>
      <c r="D8" s="10" t="s">
        <v>32</v>
      </c>
      <c r="E8" s="11" t="s">
        <v>26</v>
      </c>
      <c r="F8" s="12">
        <v>12</v>
      </c>
      <c r="G8" s="13">
        <f>15.75*0.891</f>
        <v>14.03325</v>
      </c>
      <c r="H8" s="13">
        <f>H4*0.891</f>
        <v>28.983339000000004</v>
      </c>
      <c r="I8" s="62">
        <v>0</v>
      </c>
      <c r="J8" s="13">
        <f t="shared" si="0"/>
        <v>43.016589</v>
      </c>
      <c r="K8" s="63">
        <v>3.51</v>
      </c>
      <c r="L8" s="63">
        <v>1.68</v>
      </c>
      <c r="M8" s="63">
        <v>0.1</v>
      </c>
      <c r="N8" s="63">
        <v>0.04</v>
      </c>
      <c r="O8" s="63">
        <v>0.08</v>
      </c>
      <c r="P8" s="63">
        <v>0</v>
      </c>
      <c r="Q8" s="63">
        <v>2.59</v>
      </c>
      <c r="R8" s="26">
        <v>0</v>
      </c>
      <c r="S8" s="63">
        <f t="shared" si="1"/>
        <v>7.999999999999999</v>
      </c>
      <c r="T8" s="77"/>
      <c r="U8" s="77"/>
    </row>
    <row r="9" spans="1:21" ht="30" customHeight="1">
      <c r="A9" s="7">
        <v>6</v>
      </c>
      <c r="B9" s="14"/>
      <c r="C9" s="9" t="s">
        <v>34</v>
      </c>
      <c r="D9" s="10" t="s">
        <v>35</v>
      </c>
      <c r="E9" s="11" t="s">
        <v>26</v>
      </c>
      <c r="F9" s="12">
        <v>12</v>
      </c>
      <c r="G9" s="13">
        <f>15.75*0.896</f>
        <v>14.112</v>
      </c>
      <c r="H9" s="13">
        <f>H4*0.896</f>
        <v>29.145984000000002</v>
      </c>
      <c r="I9" s="62">
        <v>0</v>
      </c>
      <c r="J9" s="13">
        <f t="shared" si="0"/>
        <v>43.257984</v>
      </c>
      <c r="K9" s="63">
        <v>3.51</v>
      </c>
      <c r="L9" s="63">
        <v>1.68</v>
      </c>
      <c r="M9" s="63">
        <v>0.1</v>
      </c>
      <c r="N9" s="63">
        <v>0.04</v>
      </c>
      <c r="O9" s="63">
        <v>0.08</v>
      </c>
      <c r="P9" s="63">
        <v>0</v>
      </c>
      <c r="Q9" s="63">
        <v>2.59</v>
      </c>
      <c r="R9" s="26">
        <v>0</v>
      </c>
      <c r="S9" s="63">
        <f t="shared" si="1"/>
        <v>7.999999999999999</v>
      </c>
      <c r="T9" s="77"/>
      <c r="U9" s="77"/>
    </row>
    <row r="10" spans="1:21" ht="30" customHeight="1">
      <c r="A10" s="7">
        <v>7</v>
      </c>
      <c r="B10" s="15"/>
      <c r="C10" s="9" t="s">
        <v>36</v>
      </c>
      <c r="D10" s="10" t="s">
        <v>35</v>
      </c>
      <c r="E10" s="11" t="s">
        <v>26</v>
      </c>
      <c r="F10" s="12">
        <v>12</v>
      </c>
      <c r="G10" s="13">
        <f>15.75*0.9</f>
        <v>14.175</v>
      </c>
      <c r="H10" s="13">
        <f>H4*0.9</f>
        <v>29.276100000000003</v>
      </c>
      <c r="I10" s="62">
        <v>0</v>
      </c>
      <c r="J10" s="13">
        <f t="shared" si="0"/>
        <v>43.451100000000004</v>
      </c>
      <c r="K10" s="63">
        <v>3.51</v>
      </c>
      <c r="L10" s="63">
        <v>1.68</v>
      </c>
      <c r="M10" s="63">
        <v>0.1</v>
      </c>
      <c r="N10" s="63">
        <v>0.04</v>
      </c>
      <c r="O10" s="63">
        <v>0.08</v>
      </c>
      <c r="P10" s="63">
        <v>0</v>
      </c>
      <c r="Q10" s="63">
        <v>2.59</v>
      </c>
      <c r="R10" s="26">
        <f>SUM(R4:R9)</f>
        <v>0</v>
      </c>
      <c r="S10" s="63">
        <f t="shared" si="1"/>
        <v>7.999999999999999</v>
      </c>
      <c r="T10" s="77"/>
      <c r="U10" s="77"/>
    </row>
    <row r="11" spans="1:21" ht="30" customHeight="1">
      <c r="A11" s="7">
        <v>8</v>
      </c>
      <c r="B11" s="7" t="s">
        <v>37</v>
      </c>
      <c r="C11" s="16" t="s">
        <v>38</v>
      </c>
      <c r="D11" s="16" t="s">
        <v>39</v>
      </c>
      <c r="E11" s="17" t="s">
        <v>40</v>
      </c>
      <c r="F11" s="18">
        <v>12</v>
      </c>
      <c r="G11" s="13">
        <v>15.75</v>
      </c>
      <c r="H11" s="13">
        <v>24.931</v>
      </c>
      <c r="I11" s="62">
        <v>0</v>
      </c>
      <c r="J11" s="13">
        <f aca="true" t="shared" si="2" ref="J11:J18">SUM(G11+H11)</f>
        <v>40.681</v>
      </c>
      <c r="K11" s="64">
        <v>3.507</v>
      </c>
      <c r="L11" s="64">
        <v>1.65</v>
      </c>
      <c r="M11" s="64">
        <v>0.103</v>
      </c>
      <c r="N11" s="64">
        <v>0.066</v>
      </c>
      <c r="O11" s="64">
        <v>0.103</v>
      </c>
      <c r="P11" s="63">
        <v>0.863</v>
      </c>
      <c r="Q11" s="78">
        <v>2.591</v>
      </c>
      <c r="R11" s="63">
        <v>0</v>
      </c>
      <c r="S11" s="63">
        <f aca="true" t="shared" si="3" ref="S11:S18">SUM(K11:R11)</f>
        <v>8.883</v>
      </c>
      <c r="T11" s="77"/>
      <c r="U11" s="77"/>
    </row>
    <row r="12" spans="1:21" ht="30" customHeight="1">
      <c r="A12" s="7">
        <v>9</v>
      </c>
      <c r="B12" s="7"/>
      <c r="C12" s="16" t="s">
        <v>41</v>
      </c>
      <c r="D12" s="16" t="s">
        <v>42</v>
      </c>
      <c r="E12" s="17" t="s">
        <v>40</v>
      </c>
      <c r="F12" s="18">
        <v>12</v>
      </c>
      <c r="G12" s="13">
        <v>15.75</v>
      </c>
      <c r="H12" s="13">
        <v>24.931</v>
      </c>
      <c r="I12" s="62">
        <v>0</v>
      </c>
      <c r="J12" s="13">
        <f t="shared" si="2"/>
        <v>40.681</v>
      </c>
      <c r="K12" s="64">
        <v>3.507</v>
      </c>
      <c r="L12" s="64">
        <v>1.65</v>
      </c>
      <c r="M12" s="64">
        <v>0.103</v>
      </c>
      <c r="N12" s="64">
        <v>0.066</v>
      </c>
      <c r="O12" s="64">
        <v>0.103</v>
      </c>
      <c r="P12" s="63">
        <v>0.863</v>
      </c>
      <c r="Q12" s="78">
        <v>2.591</v>
      </c>
      <c r="R12" s="63">
        <v>0</v>
      </c>
      <c r="S12" s="63">
        <f t="shared" si="3"/>
        <v>8.883</v>
      </c>
      <c r="T12" s="77"/>
      <c r="U12" s="77"/>
    </row>
    <row r="13" spans="1:21" ht="30" customHeight="1">
      <c r="A13" s="7">
        <v>10</v>
      </c>
      <c r="B13" s="7"/>
      <c r="C13" s="19" t="s">
        <v>43</v>
      </c>
      <c r="D13" s="19" t="s">
        <v>44</v>
      </c>
      <c r="E13" s="17" t="s">
        <v>40</v>
      </c>
      <c r="F13" s="18">
        <v>12</v>
      </c>
      <c r="G13" s="13">
        <v>13.766</v>
      </c>
      <c r="H13" s="13">
        <v>21.79</v>
      </c>
      <c r="I13" s="62">
        <v>0</v>
      </c>
      <c r="J13" s="13">
        <f t="shared" si="2"/>
        <v>35.556</v>
      </c>
      <c r="K13" s="64">
        <v>3.507</v>
      </c>
      <c r="L13" s="64">
        <v>1.65</v>
      </c>
      <c r="M13" s="64">
        <v>0.103</v>
      </c>
      <c r="N13" s="64">
        <v>0.066</v>
      </c>
      <c r="O13" s="64">
        <v>0.103</v>
      </c>
      <c r="P13" s="63">
        <v>0.863</v>
      </c>
      <c r="Q13" s="78">
        <v>2.591</v>
      </c>
      <c r="R13" s="63">
        <v>0</v>
      </c>
      <c r="S13" s="63">
        <f t="shared" si="3"/>
        <v>8.883</v>
      </c>
      <c r="T13" s="77"/>
      <c r="U13" s="77"/>
    </row>
    <row r="14" spans="1:21" ht="30" customHeight="1">
      <c r="A14" s="7">
        <v>11</v>
      </c>
      <c r="B14" s="7"/>
      <c r="C14" s="87" t="s">
        <v>45</v>
      </c>
      <c r="D14" s="19" t="s">
        <v>35</v>
      </c>
      <c r="E14" s="17" t="s">
        <v>40</v>
      </c>
      <c r="F14" s="18">
        <v>12</v>
      </c>
      <c r="G14" s="13">
        <v>13.939</v>
      </c>
      <c r="H14" s="13">
        <v>22.064</v>
      </c>
      <c r="I14" s="62">
        <v>0</v>
      </c>
      <c r="J14" s="13">
        <f t="shared" si="2"/>
        <v>36.003</v>
      </c>
      <c r="K14" s="64">
        <v>3.507</v>
      </c>
      <c r="L14" s="64">
        <v>1.65</v>
      </c>
      <c r="M14" s="64">
        <v>0.103</v>
      </c>
      <c r="N14" s="64">
        <v>0.066</v>
      </c>
      <c r="O14" s="64">
        <v>0.103</v>
      </c>
      <c r="P14" s="63">
        <v>0.863</v>
      </c>
      <c r="Q14" s="78">
        <v>2.591</v>
      </c>
      <c r="R14" s="63">
        <v>0</v>
      </c>
      <c r="S14" s="63">
        <f t="shared" si="3"/>
        <v>8.883</v>
      </c>
      <c r="T14" s="77"/>
      <c r="U14" s="77"/>
    </row>
    <row r="15" spans="1:21" ht="30" customHeight="1">
      <c r="A15" s="7">
        <v>12</v>
      </c>
      <c r="B15" s="7"/>
      <c r="C15" s="19" t="s">
        <v>46</v>
      </c>
      <c r="D15" s="19" t="s">
        <v>35</v>
      </c>
      <c r="E15" s="17" t="s">
        <v>40</v>
      </c>
      <c r="F15" s="18">
        <v>12</v>
      </c>
      <c r="G15" s="13">
        <v>13.939</v>
      </c>
      <c r="H15" s="13">
        <v>22.064</v>
      </c>
      <c r="I15" s="62">
        <v>0</v>
      </c>
      <c r="J15" s="13">
        <f t="shared" si="2"/>
        <v>36.003</v>
      </c>
      <c r="K15" s="64">
        <v>3.507</v>
      </c>
      <c r="L15" s="64">
        <v>1.65</v>
      </c>
      <c r="M15" s="64">
        <v>0.103</v>
      </c>
      <c r="N15" s="64">
        <v>0.066</v>
      </c>
      <c r="O15" s="64">
        <v>0.103</v>
      </c>
      <c r="P15" s="63">
        <v>0.863</v>
      </c>
      <c r="Q15" s="78">
        <v>2.591</v>
      </c>
      <c r="R15" s="63">
        <v>0</v>
      </c>
      <c r="S15" s="63">
        <f t="shared" si="3"/>
        <v>8.883</v>
      </c>
      <c r="T15" s="77"/>
      <c r="U15" s="77"/>
    </row>
    <row r="16" spans="1:21" ht="30" customHeight="1">
      <c r="A16" s="7">
        <v>13</v>
      </c>
      <c r="B16" s="7"/>
      <c r="C16" s="21" t="s">
        <v>47</v>
      </c>
      <c r="D16" s="21" t="s">
        <v>48</v>
      </c>
      <c r="E16" s="17" t="s">
        <v>40</v>
      </c>
      <c r="F16" s="18">
        <v>12</v>
      </c>
      <c r="G16" s="13">
        <v>14.049</v>
      </c>
      <c r="H16" s="13">
        <v>22.238</v>
      </c>
      <c r="I16" s="62">
        <v>0</v>
      </c>
      <c r="J16" s="13">
        <f t="shared" si="2"/>
        <v>36.287</v>
      </c>
      <c r="K16" s="64">
        <v>3.507</v>
      </c>
      <c r="L16" s="64">
        <v>1.65</v>
      </c>
      <c r="M16" s="64">
        <v>0.103</v>
      </c>
      <c r="N16" s="64">
        <v>0.066</v>
      </c>
      <c r="O16" s="64">
        <v>0.103</v>
      </c>
      <c r="P16" s="63">
        <v>0.863</v>
      </c>
      <c r="Q16" s="78">
        <v>2.591</v>
      </c>
      <c r="R16" s="63">
        <v>0</v>
      </c>
      <c r="S16" s="63">
        <f t="shared" si="3"/>
        <v>8.883</v>
      </c>
      <c r="T16" s="77"/>
      <c r="U16" s="77"/>
    </row>
    <row r="17" spans="1:21" ht="30" customHeight="1">
      <c r="A17" s="7">
        <v>14</v>
      </c>
      <c r="B17" s="7"/>
      <c r="C17" s="87" t="s">
        <v>49</v>
      </c>
      <c r="D17" s="21" t="s">
        <v>50</v>
      </c>
      <c r="E17" s="17" t="s">
        <v>40</v>
      </c>
      <c r="F17" s="18">
        <v>12</v>
      </c>
      <c r="G17" s="13">
        <v>13.844</v>
      </c>
      <c r="H17" s="13">
        <v>21.914</v>
      </c>
      <c r="I17" s="62">
        <v>0</v>
      </c>
      <c r="J17" s="13">
        <f t="shared" si="2"/>
        <v>35.758</v>
      </c>
      <c r="K17" s="64">
        <v>3.507</v>
      </c>
      <c r="L17" s="64">
        <v>1.65</v>
      </c>
      <c r="M17" s="64">
        <v>0.103</v>
      </c>
      <c r="N17" s="64">
        <v>0.066</v>
      </c>
      <c r="O17" s="64">
        <v>0.103</v>
      </c>
      <c r="P17" s="63">
        <v>0.863</v>
      </c>
      <c r="Q17" s="78">
        <v>2.591</v>
      </c>
      <c r="R17" s="63">
        <v>0</v>
      </c>
      <c r="S17" s="63">
        <f t="shared" si="3"/>
        <v>8.883</v>
      </c>
      <c r="T17" s="77"/>
      <c r="U17" s="77"/>
    </row>
    <row r="18" spans="1:21" ht="30" customHeight="1">
      <c r="A18" s="7">
        <v>15</v>
      </c>
      <c r="B18" s="7"/>
      <c r="C18" s="87" t="s">
        <v>51</v>
      </c>
      <c r="D18" s="21" t="s">
        <v>52</v>
      </c>
      <c r="E18" s="17" t="s">
        <v>40</v>
      </c>
      <c r="F18" s="18">
        <v>12</v>
      </c>
      <c r="G18" s="13">
        <v>14.002</v>
      </c>
      <c r="H18" s="13">
        <v>22.164</v>
      </c>
      <c r="I18" s="62">
        <v>0</v>
      </c>
      <c r="J18" s="13">
        <f t="shared" si="2"/>
        <v>36.166000000000004</v>
      </c>
      <c r="K18" s="64">
        <v>3.507</v>
      </c>
      <c r="L18" s="64">
        <v>1.65</v>
      </c>
      <c r="M18" s="64">
        <v>0.103</v>
      </c>
      <c r="N18" s="64">
        <v>0.066</v>
      </c>
      <c r="O18" s="64">
        <v>0.103</v>
      </c>
      <c r="P18" s="63">
        <v>0.863</v>
      </c>
      <c r="Q18" s="78">
        <v>2.591</v>
      </c>
      <c r="R18" s="63">
        <v>0</v>
      </c>
      <c r="S18" s="63">
        <f t="shared" si="3"/>
        <v>8.883</v>
      </c>
      <c r="T18" s="77"/>
      <c r="U18" s="77"/>
    </row>
    <row r="19" spans="1:21" ht="30.75" customHeight="1">
      <c r="A19" s="7">
        <v>16</v>
      </c>
      <c r="B19" s="22" t="s">
        <v>53</v>
      </c>
      <c r="C19" s="23" t="s">
        <v>54</v>
      </c>
      <c r="D19" s="23" t="s">
        <v>55</v>
      </c>
      <c r="E19" s="24" t="s">
        <v>40</v>
      </c>
      <c r="F19" s="25">
        <v>12</v>
      </c>
      <c r="G19" s="26">
        <v>15.75</v>
      </c>
      <c r="H19" s="26">
        <v>29.305</v>
      </c>
      <c r="I19" s="62">
        <v>0</v>
      </c>
      <c r="J19" s="26">
        <f aca="true" t="shared" si="4" ref="J19:J29">G19+H19</f>
        <v>45.055</v>
      </c>
      <c r="K19" s="65">
        <v>3.5073719999999993</v>
      </c>
      <c r="L19" s="65">
        <v>1.675764</v>
      </c>
      <c r="M19" s="65">
        <v>0.10313399999999998</v>
      </c>
      <c r="N19" s="65">
        <v>0.07425000000000001</v>
      </c>
      <c r="O19" s="65">
        <v>0.07746599999999998</v>
      </c>
      <c r="P19" s="26">
        <v>0</v>
      </c>
      <c r="Q19" s="79">
        <v>2.5914</v>
      </c>
      <c r="R19" s="26">
        <v>0</v>
      </c>
      <c r="S19" s="69">
        <f aca="true" t="shared" si="5" ref="S19:S29">SUM(K19:R19)</f>
        <v>8.029385999999999</v>
      </c>
      <c r="T19" s="77"/>
      <c r="U19" s="77"/>
    </row>
    <row r="20" spans="1:19" ht="30.75" customHeight="1">
      <c r="A20" s="7">
        <v>17</v>
      </c>
      <c r="B20" s="27"/>
      <c r="C20" s="28" t="s">
        <v>56</v>
      </c>
      <c r="D20" s="28" t="s">
        <v>57</v>
      </c>
      <c r="E20" s="24" t="s">
        <v>40</v>
      </c>
      <c r="F20" s="25">
        <v>12</v>
      </c>
      <c r="G20" s="26">
        <v>13.78147512864494</v>
      </c>
      <c r="H20" s="26">
        <v>22.441776</v>
      </c>
      <c r="I20" s="62">
        <v>0</v>
      </c>
      <c r="J20" s="26">
        <f t="shared" si="4"/>
        <v>36.22325112864494</v>
      </c>
      <c r="K20" s="65">
        <v>3.5073719999999993</v>
      </c>
      <c r="L20" s="65">
        <v>1.675764</v>
      </c>
      <c r="M20" s="65">
        <v>0.10313399999999998</v>
      </c>
      <c r="N20" s="65">
        <v>0.07425000000000001</v>
      </c>
      <c r="O20" s="65">
        <v>0.07746599999999998</v>
      </c>
      <c r="P20" s="26">
        <v>0</v>
      </c>
      <c r="Q20" s="79">
        <v>2.5914</v>
      </c>
      <c r="R20" s="26">
        <v>0</v>
      </c>
      <c r="S20" s="69">
        <f t="shared" si="5"/>
        <v>8.029385999999999</v>
      </c>
    </row>
    <row r="21" spans="1:19" ht="30.75" customHeight="1">
      <c r="A21" s="7">
        <v>18</v>
      </c>
      <c r="B21" s="27"/>
      <c r="C21" s="28" t="s">
        <v>58</v>
      </c>
      <c r="D21" s="28" t="s">
        <v>59</v>
      </c>
      <c r="E21" s="24" t="s">
        <v>40</v>
      </c>
      <c r="F21" s="25">
        <v>12</v>
      </c>
      <c r="G21" s="26">
        <v>14.175</v>
      </c>
      <c r="H21" s="26">
        <v>23.741708</v>
      </c>
      <c r="I21" s="62">
        <v>0</v>
      </c>
      <c r="J21" s="26">
        <f t="shared" si="4"/>
        <v>37.916708</v>
      </c>
      <c r="K21" s="65">
        <v>3.5073719999999993</v>
      </c>
      <c r="L21" s="65">
        <v>1.675764</v>
      </c>
      <c r="M21" s="65">
        <v>0.10313399999999998</v>
      </c>
      <c r="N21" s="65">
        <v>0.07425000000000001</v>
      </c>
      <c r="O21" s="65">
        <v>0.07746599999999998</v>
      </c>
      <c r="P21" s="26">
        <v>0</v>
      </c>
      <c r="Q21" s="79">
        <v>2.5914</v>
      </c>
      <c r="R21" s="26">
        <v>0</v>
      </c>
      <c r="S21" s="69">
        <f t="shared" si="5"/>
        <v>8.029385999999999</v>
      </c>
    </row>
    <row r="22" spans="1:19" ht="30.75" customHeight="1">
      <c r="A22" s="7">
        <v>19</v>
      </c>
      <c r="B22" s="27"/>
      <c r="C22" s="28" t="s">
        <v>60</v>
      </c>
      <c r="D22" s="28" t="s">
        <v>35</v>
      </c>
      <c r="E22" s="24" t="s">
        <v>40</v>
      </c>
      <c r="F22" s="25">
        <v>12</v>
      </c>
      <c r="G22" s="26">
        <v>13.863421955403085</v>
      </c>
      <c r="H22" s="26">
        <v>22.709454</v>
      </c>
      <c r="I22" s="62">
        <v>0</v>
      </c>
      <c r="J22" s="26">
        <f t="shared" si="4"/>
        <v>36.572875955403084</v>
      </c>
      <c r="K22" s="65">
        <v>3.5073719999999993</v>
      </c>
      <c r="L22" s="65">
        <v>1.675764</v>
      </c>
      <c r="M22" s="65">
        <v>0.10313399999999998</v>
      </c>
      <c r="N22" s="65">
        <v>0.07425000000000001</v>
      </c>
      <c r="O22" s="65">
        <v>0.07746599999999998</v>
      </c>
      <c r="P22" s="26">
        <v>0</v>
      </c>
      <c r="Q22" s="79">
        <v>2.5914</v>
      </c>
      <c r="R22" s="26">
        <v>0</v>
      </c>
      <c r="S22" s="69">
        <f t="shared" si="5"/>
        <v>8.029385999999999</v>
      </c>
    </row>
    <row r="23" spans="1:19" ht="30.75" customHeight="1">
      <c r="A23" s="7">
        <v>20</v>
      </c>
      <c r="B23" s="27"/>
      <c r="C23" s="28" t="s">
        <v>61</v>
      </c>
      <c r="D23" s="28" t="s">
        <v>62</v>
      </c>
      <c r="E23" s="24" t="s">
        <v>40</v>
      </c>
      <c r="F23" s="25">
        <v>12</v>
      </c>
      <c r="G23" s="26">
        <v>14.175</v>
      </c>
      <c r="H23" s="26">
        <v>23.741708</v>
      </c>
      <c r="I23" s="62">
        <v>0</v>
      </c>
      <c r="J23" s="26">
        <f t="shared" si="4"/>
        <v>37.916708</v>
      </c>
      <c r="K23" s="65">
        <v>3.5073719999999993</v>
      </c>
      <c r="L23" s="65">
        <v>1.675764</v>
      </c>
      <c r="M23" s="65">
        <v>0.10313399999999998</v>
      </c>
      <c r="N23" s="65">
        <v>0.07425000000000001</v>
      </c>
      <c r="O23" s="65">
        <v>0.07746599999999998</v>
      </c>
      <c r="P23" s="26">
        <v>0</v>
      </c>
      <c r="Q23" s="79">
        <v>2.5914</v>
      </c>
      <c r="R23" s="26">
        <v>0</v>
      </c>
      <c r="S23" s="69">
        <f t="shared" si="5"/>
        <v>8.029385999999999</v>
      </c>
    </row>
    <row r="24" spans="1:19" ht="30.75" customHeight="1">
      <c r="A24" s="7">
        <v>21</v>
      </c>
      <c r="B24" s="27"/>
      <c r="C24" s="29" t="s">
        <v>63</v>
      </c>
      <c r="D24" s="30" t="s">
        <v>64</v>
      </c>
      <c r="E24" s="24" t="s">
        <v>40</v>
      </c>
      <c r="F24" s="25">
        <v>12</v>
      </c>
      <c r="G24" s="26">
        <v>13.7958833619211</v>
      </c>
      <c r="H24" s="26">
        <v>22.488725</v>
      </c>
      <c r="I24" s="62">
        <v>0</v>
      </c>
      <c r="J24" s="26">
        <f t="shared" si="4"/>
        <v>36.2846083619211</v>
      </c>
      <c r="K24" s="65">
        <v>3.5073719999999993</v>
      </c>
      <c r="L24" s="65">
        <v>1.675764</v>
      </c>
      <c r="M24" s="65">
        <v>0.10313399999999998</v>
      </c>
      <c r="N24" s="65">
        <v>0.07425000000000001</v>
      </c>
      <c r="O24" s="65">
        <v>0.07746599999999998</v>
      </c>
      <c r="P24" s="26">
        <v>0</v>
      </c>
      <c r="Q24" s="79">
        <v>2.5914</v>
      </c>
      <c r="R24" s="26">
        <v>0</v>
      </c>
      <c r="S24" s="69">
        <f t="shared" si="5"/>
        <v>8.029385999999999</v>
      </c>
    </row>
    <row r="25" spans="1:19" ht="30.75" customHeight="1">
      <c r="A25" s="7">
        <v>22</v>
      </c>
      <c r="B25" s="22" t="s">
        <v>65</v>
      </c>
      <c r="C25" s="31" t="s">
        <v>66</v>
      </c>
      <c r="D25" s="32" t="s">
        <v>67</v>
      </c>
      <c r="E25" s="24" t="s">
        <v>40</v>
      </c>
      <c r="F25" s="25">
        <v>12</v>
      </c>
      <c r="G25" s="26">
        <f>141750*1/10000</f>
        <v>14.175</v>
      </c>
      <c r="H25" s="26">
        <f>G25*1.4253*0.976*1</f>
        <v>19.718740439999998</v>
      </c>
      <c r="I25" s="62">
        <v>0</v>
      </c>
      <c r="J25" s="26">
        <f t="shared" si="4"/>
        <v>33.89374044</v>
      </c>
      <c r="K25" s="65">
        <f>(17265*0.19*4+17265*0.16*2+17112*0.16*6)/10000</f>
        <v>3.507372</v>
      </c>
      <c r="L25" s="66">
        <f>(17265*0.08*6+17112*0.08*3+17112*0.085*3)/10000</f>
        <v>1.6757640000000003</v>
      </c>
      <c r="M25" s="66">
        <v>0.103131</v>
      </c>
      <c r="N25" s="66">
        <v>0.066004</v>
      </c>
      <c r="O25" s="66">
        <v>0.077463</v>
      </c>
      <c r="P25" s="66">
        <v>0</v>
      </c>
      <c r="Q25" s="66">
        <f>(17010*0.12*6+18981*0.12*6)/10000</f>
        <v>2.5913519999999997</v>
      </c>
      <c r="R25" s="69">
        <v>0</v>
      </c>
      <c r="S25" s="69">
        <f t="shared" si="5"/>
        <v>8.021086</v>
      </c>
    </row>
    <row r="26" spans="1:19" ht="30.75" customHeight="1">
      <c r="A26" s="7">
        <v>23</v>
      </c>
      <c r="B26" s="27"/>
      <c r="C26" s="33" t="s">
        <v>68</v>
      </c>
      <c r="D26" s="34" t="s">
        <v>69</v>
      </c>
      <c r="E26" s="24" t="s">
        <v>40</v>
      </c>
      <c r="F26" s="25">
        <v>12</v>
      </c>
      <c r="G26" s="26">
        <f>141750*0.8/10000</f>
        <v>11.34</v>
      </c>
      <c r="H26" s="26">
        <f>H25*0.5</f>
        <v>9.859370219999999</v>
      </c>
      <c r="I26" s="62">
        <v>0</v>
      </c>
      <c r="J26" s="26">
        <f t="shared" si="4"/>
        <v>21.19937022</v>
      </c>
      <c r="K26" s="65">
        <f>(16166.95*0.19*1+17265*0.19*3+17265*0.16*2+17112*0.16*6)/10000</f>
        <v>3.48650905</v>
      </c>
      <c r="L26" s="66">
        <f>(16166.95*0.08*1+17265*0.08*5+17112*0.08*3+17112*0.085*3)/10000</f>
        <v>1.6669796000000001</v>
      </c>
      <c r="M26" s="66">
        <v>0.10258199999999999</v>
      </c>
      <c r="N26" s="66">
        <v>0.065652</v>
      </c>
      <c r="O26" s="66">
        <v>0.076914</v>
      </c>
      <c r="P26" s="66">
        <v>0</v>
      </c>
      <c r="Q26" s="66">
        <f>(17010*0.12*6+18981*0.12*6)/10000</f>
        <v>2.5913519999999997</v>
      </c>
      <c r="R26" s="69">
        <v>0</v>
      </c>
      <c r="S26" s="69">
        <f t="shared" si="5"/>
        <v>7.98998865</v>
      </c>
    </row>
    <row r="27" spans="1:19" ht="30.75" customHeight="1">
      <c r="A27" s="7">
        <v>24</v>
      </c>
      <c r="B27" s="27"/>
      <c r="C27" s="35" t="s">
        <v>70</v>
      </c>
      <c r="D27" s="34" t="s">
        <v>71</v>
      </c>
      <c r="E27" s="24" t="s">
        <v>40</v>
      </c>
      <c r="F27" s="25">
        <v>12</v>
      </c>
      <c r="G27" s="26">
        <f>141750*0.8/10000</f>
        <v>11.34</v>
      </c>
      <c r="H27" s="26">
        <f>H25*0.5</f>
        <v>9.859370219999999</v>
      </c>
      <c r="I27" s="62">
        <v>0</v>
      </c>
      <c r="J27" s="26">
        <f t="shared" si="4"/>
        <v>21.19937022</v>
      </c>
      <c r="K27" s="67">
        <f>(16166.95*0.19*1+17265*0.19*3+17265*0.16*2+17112*0.16*6)/10000</f>
        <v>3.48650905</v>
      </c>
      <c r="L27" s="66">
        <f>(16166.95*0.08*1+17265*0.08*5+17112*0.08*3+17112*0.085*3)/10000</f>
        <v>1.6669796000000001</v>
      </c>
      <c r="M27" s="66">
        <v>0.10258199999999999</v>
      </c>
      <c r="N27" s="66">
        <v>0.065652</v>
      </c>
      <c r="O27" s="66">
        <v>0.076914</v>
      </c>
      <c r="P27" s="66">
        <v>0</v>
      </c>
      <c r="Q27" s="66">
        <f>(17010*0.12*6+18981*0.12*6)/10000</f>
        <v>2.5913519999999997</v>
      </c>
      <c r="R27" s="69">
        <v>0</v>
      </c>
      <c r="S27" s="69">
        <f t="shared" si="5"/>
        <v>7.98998865</v>
      </c>
    </row>
    <row r="28" spans="1:19" ht="30.75" customHeight="1">
      <c r="A28" s="7">
        <v>25</v>
      </c>
      <c r="B28" s="27"/>
      <c r="C28" s="31" t="s">
        <v>72</v>
      </c>
      <c r="D28" s="34" t="s">
        <v>62</v>
      </c>
      <c r="E28" s="24" t="s">
        <v>40</v>
      </c>
      <c r="F28" s="25">
        <v>12</v>
      </c>
      <c r="G28" s="26">
        <f>141750*0.844/10000</f>
        <v>11.9637</v>
      </c>
      <c r="H28" s="26">
        <f>H25*0.844</f>
        <v>16.64261693136</v>
      </c>
      <c r="I28" s="62">
        <v>0</v>
      </c>
      <c r="J28" s="26">
        <f t="shared" si="4"/>
        <v>28.60631693136</v>
      </c>
      <c r="K28" s="67">
        <f>(15235.36*0.19*1+17265*0.19*3+17265*0.16*2+17112*0.16*6)/10000</f>
        <v>3.46880884</v>
      </c>
      <c r="L28" s="66">
        <f>(15235.36*0.08*1+17265*0.08*5+17112*0.08*3+17112*0.085*3)/10000</f>
        <v>1.6595268800000003</v>
      </c>
      <c r="M28" s="66">
        <v>0.102116</v>
      </c>
      <c r="N28" s="66">
        <v>0.065354</v>
      </c>
      <c r="O28" s="66">
        <v>0.076448</v>
      </c>
      <c r="P28" s="66">
        <v>0</v>
      </c>
      <c r="Q28" s="66">
        <f>(17010*0.12*6+18981*0.12*6)/10000</f>
        <v>2.5913519999999997</v>
      </c>
      <c r="R28" s="69">
        <v>0</v>
      </c>
      <c r="S28" s="69">
        <f t="shared" si="5"/>
        <v>7.963605719999999</v>
      </c>
    </row>
    <row r="29" spans="1:19" ht="30.75" customHeight="1">
      <c r="A29" s="7">
        <v>26</v>
      </c>
      <c r="B29" s="27"/>
      <c r="C29" s="31" t="s">
        <v>73</v>
      </c>
      <c r="D29" s="34" t="s">
        <v>62</v>
      </c>
      <c r="E29" s="24" t="s">
        <v>40</v>
      </c>
      <c r="F29" s="25">
        <v>12</v>
      </c>
      <c r="G29" s="26">
        <f>141750*0.845/10000</f>
        <v>11.977875</v>
      </c>
      <c r="H29" s="26">
        <f>H25*0.845</f>
        <v>16.662335671799998</v>
      </c>
      <c r="I29" s="62">
        <v>0</v>
      </c>
      <c r="J29" s="26">
        <f t="shared" si="4"/>
        <v>28.6402106718</v>
      </c>
      <c r="K29" s="67">
        <f>(15235.36*0.19*1+17265*0.19*3+17265*0.16*2+17112*0.16*6)/10000</f>
        <v>3.46880884</v>
      </c>
      <c r="L29" s="66">
        <f>(15235.36*0.08*1+17265*0.08*5+17112*0.08*3+17112*0.085*3)/10000</f>
        <v>1.6595268800000003</v>
      </c>
      <c r="M29" s="66">
        <v>0.102116</v>
      </c>
      <c r="N29" s="66">
        <v>0.065354</v>
      </c>
      <c r="O29" s="66">
        <v>0.076448</v>
      </c>
      <c r="P29" s="66">
        <v>0</v>
      </c>
      <c r="Q29" s="66">
        <f>(17010*0.12*6+18981*0.12*6)/10000</f>
        <v>2.5913519999999997</v>
      </c>
      <c r="R29" s="69">
        <v>0</v>
      </c>
      <c r="S29" s="69">
        <f t="shared" si="5"/>
        <v>7.963605719999999</v>
      </c>
    </row>
    <row r="30" spans="1:19" ht="30.75" customHeight="1">
      <c r="A30" s="7">
        <v>27</v>
      </c>
      <c r="B30" s="36" t="s">
        <v>74</v>
      </c>
      <c r="C30" s="37" t="s">
        <v>75</v>
      </c>
      <c r="D30" s="37" t="s">
        <v>76</v>
      </c>
      <c r="E30" s="24" t="s">
        <v>40</v>
      </c>
      <c r="F30" s="25">
        <v>12</v>
      </c>
      <c r="G30" s="26">
        <v>14.175</v>
      </c>
      <c r="H30" s="26">
        <f>18.9*1</f>
        <v>18.9</v>
      </c>
      <c r="I30" s="62">
        <v>0</v>
      </c>
      <c r="J30" s="26">
        <f aca="true" t="shared" si="6" ref="J30:J44">SUM(G30+H30)</f>
        <v>33.075</v>
      </c>
      <c r="K30" s="68">
        <f aca="true" t="shared" si="7" ref="K30:K35">(17265*19%*4+17265*16%*2+17112*16%*6)/10000</f>
        <v>3.507372</v>
      </c>
      <c r="L30" s="68">
        <f aca="true" t="shared" si="8" ref="L30:L35">(17265*8%*6+17112*8%*3+17112*8.5%*3)/10000</f>
        <v>1.6757640000000003</v>
      </c>
      <c r="M30" s="65">
        <f aca="true" t="shared" si="9" ref="M30:M35">(17265*0.5%*6+17112*0.5%*6)/10000</f>
        <v>0.103131</v>
      </c>
      <c r="N30" s="65">
        <f aca="true" t="shared" si="10" ref="N30:N35">(17265*0.1%*6+17112*0.1%*6)/10000</f>
        <v>0.0206262</v>
      </c>
      <c r="O30" s="65">
        <f aca="true" t="shared" si="11" ref="O30:O35">(17265*0.5%*6+17112*0.5%*3)/10000</f>
        <v>0.077463</v>
      </c>
      <c r="P30" s="69">
        <v>0</v>
      </c>
      <c r="Q30" s="65">
        <f aca="true" t="shared" si="12" ref="Q30:Q35">(17010*12%*7+18981*12%*5)/10000</f>
        <v>2.5676999999999994</v>
      </c>
      <c r="R30" s="69">
        <v>0</v>
      </c>
      <c r="S30" s="69">
        <f aca="true" t="shared" si="13" ref="S30:S46">SUM(K30:R30)</f>
        <v>7.9520561999999995</v>
      </c>
    </row>
    <row r="31" spans="1:19" ht="30.75" customHeight="1">
      <c r="A31" s="7">
        <v>28</v>
      </c>
      <c r="B31" s="36"/>
      <c r="C31" s="37" t="s">
        <v>77</v>
      </c>
      <c r="D31" s="37" t="s">
        <v>78</v>
      </c>
      <c r="E31" s="24" t="s">
        <v>40</v>
      </c>
      <c r="F31" s="25">
        <v>12</v>
      </c>
      <c r="G31" s="26">
        <v>14.175</v>
      </c>
      <c r="H31" s="26">
        <f>18.9*1</f>
        <v>18.9</v>
      </c>
      <c r="I31" s="62">
        <v>0</v>
      </c>
      <c r="J31" s="26">
        <f t="shared" si="6"/>
        <v>33.075</v>
      </c>
      <c r="K31" s="68">
        <f t="shared" si="7"/>
        <v>3.507372</v>
      </c>
      <c r="L31" s="68">
        <f t="shared" si="8"/>
        <v>1.6757640000000003</v>
      </c>
      <c r="M31" s="65">
        <f t="shared" si="9"/>
        <v>0.103131</v>
      </c>
      <c r="N31" s="65">
        <f t="shared" si="10"/>
        <v>0.0206262</v>
      </c>
      <c r="O31" s="65">
        <f t="shared" si="11"/>
        <v>0.077463</v>
      </c>
      <c r="P31" s="69">
        <v>0</v>
      </c>
      <c r="Q31" s="65">
        <f t="shared" si="12"/>
        <v>2.5676999999999994</v>
      </c>
      <c r="R31" s="69">
        <v>0</v>
      </c>
      <c r="S31" s="69">
        <f t="shared" si="13"/>
        <v>7.9520561999999995</v>
      </c>
    </row>
    <row r="32" spans="1:19" ht="30.75" customHeight="1">
      <c r="A32" s="7">
        <v>29</v>
      </c>
      <c r="B32" s="36"/>
      <c r="C32" s="38" t="s">
        <v>79</v>
      </c>
      <c r="D32" s="38" t="s">
        <v>57</v>
      </c>
      <c r="E32" s="24" t="s">
        <v>40</v>
      </c>
      <c r="F32" s="25">
        <v>12</v>
      </c>
      <c r="G32" s="26">
        <f>G31*0.854</f>
        <v>12.105450000000001</v>
      </c>
      <c r="H32" s="26">
        <f>18.9*0.854</f>
        <v>16.1406</v>
      </c>
      <c r="I32" s="62">
        <v>0</v>
      </c>
      <c r="J32" s="26">
        <f t="shared" si="6"/>
        <v>28.24605</v>
      </c>
      <c r="K32" s="68">
        <f t="shared" si="7"/>
        <v>3.507372</v>
      </c>
      <c r="L32" s="68">
        <f t="shared" si="8"/>
        <v>1.6757640000000003</v>
      </c>
      <c r="M32" s="65">
        <f t="shared" si="9"/>
        <v>0.103131</v>
      </c>
      <c r="N32" s="65">
        <f t="shared" si="10"/>
        <v>0.0206262</v>
      </c>
      <c r="O32" s="65">
        <f t="shared" si="11"/>
        <v>0.077463</v>
      </c>
      <c r="P32" s="69">
        <v>0</v>
      </c>
      <c r="Q32" s="65">
        <f t="shared" si="12"/>
        <v>2.5676999999999994</v>
      </c>
      <c r="R32" s="69">
        <v>0</v>
      </c>
      <c r="S32" s="69">
        <f t="shared" si="13"/>
        <v>7.9520561999999995</v>
      </c>
    </row>
    <row r="33" spans="1:19" ht="30.75" customHeight="1">
      <c r="A33" s="7">
        <v>30</v>
      </c>
      <c r="B33" s="36"/>
      <c r="C33" s="38" t="s">
        <v>80</v>
      </c>
      <c r="D33" s="38" t="s">
        <v>62</v>
      </c>
      <c r="E33" s="24" t="s">
        <v>40</v>
      </c>
      <c r="F33" s="25">
        <v>12</v>
      </c>
      <c r="G33" s="26">
        <f>G31*0.852</f>
        <v>12.0771</v>
      </c>
      <c r="H33" s="26">
        <f>18.9*0.852</f>
        <v>16.1028</v>
      </c>
      <c r="I33" s="62">
        <v>0</v>
      </c>
      <c r="J33" s="26">
        <f t="shared" si="6"/>
        <v>28.179899999999996</v>
      </c>
      <c r="K33" s="68">
        <f t="shared" si="7"/>
        <v>3.507372</v>
      </c>
      <c r="L33" s="68">
        <f t="shared" si="8"/>
        <v>1.6757640000000003</v>
      </c>
      <c r="M33" s="65">
        <f t="shared" si="9"/>
        <v>0.103131</v>
      </c>
      <c r="N33" s="65">
        <f t="shared" si="10"/>
        <v>0.0206262</v>
      </c>
      <c r="O33" s="65">
        <f t="shared" si="11"/>
        <v>0.077463</v>
      </c>
      <c r="P33" s="69">
        <v>0</v>
      </c>
      <c r="Q33" s="65">
        <f t="shared" si="12"/>
        <v>2.5676999999999994</v>
      </c>
      <c r="R33" s="69">
        <v>0</v>
      </c>
      <c r="S33" s="69">
        <f t="shared" si="13"/>
        <v>7.9520561999999995</v>
      </c>
    </row>
    <row r="34" spans="1:19" ht="30.75" customHeight="1">
      <c r="A34" s="7">
        <v>31</v>
      </c>
      <c r="B34" s="36"/>
      <c r="C34" s="38" t="s">
        <v>81</v>
      </c>
      <c r="D34" s="38" t="s">
        <v>59</v>
      </c>
      <c r="E34" s="24" t="s">
        <v>40</v>
      </c>
      <c r="F34" s="25">
        <v>12</v>
      </c>
      <c r="G34" s="26">
        <f>G31*0.852</f>
        <v>12.0771</v>
      </c>
      <c r="H34" s="26">
        <f>18.9*0.852</f>
        <v>16.1028</v>
      </c>
      <c r="I34" s="62">
        <v>0</v>
      </c>
      <c r="J34" s="26">
        <f t="shared" si="6"/>
        <v>28.179899999999996</v>
      </c>
      <c r="K34" s="68">
        <f t="shared" si="7"/>
        <v>3.507372</v>
      </c>
      <c r="L34" s="68">
        <f t="shared" si="8"/>
        <v>1.6757640000000003</v>
      </c>
      <c r="M34" s="65">
        <f t="shared" si="9"/>
        <v>0.103131</v>
      </c>
      <c r="N34" s="65">
        <f t="shared" si="10"/>
        <v>0.0206262</v>
      </c>
      <c r="O34" s="65">
        <f t="shared" si="11"/>
        <v>0.077463</v>
      </c>
      <c r="P34" s="69">
        <v>0</v>
      </c>
      <c r="Q34" s="65">
        <f t="shared" si="12"/>
        <v>2.5676999999999994</v>
      </c>
      <c r="R34" s="69">
        <v>0</v>
      </c>
      <c r="S34" s="69">
        <f t="shared" si="13"/>
        <v>7.9520561999999995</v>
      </c>
    </row>
    <row r="35" spans="1:19" ht="33" customHeight="1">
      <c r="A35" s="7">
        <v>32</v>
      </c>
      <c r="B35" s="36"/>
      <c r="C35" s="38" t="s">
        <v>82</v>
      </c>
      <c r="D35" s="38" t="s">
        <v>62</v>
      </c>
      <c r="E35" s="24" t="s">
        <v>40</v>
      </c>
      <c r="F35" s="25">
        <v>12</v>
      </c>
      <c r="G35" s="26">
        <f>G30*0.85</f>
        <v>12.04875</v>
      </c>
      <c r="H35" s="26">
        <f>18.9*0.85*10/12</f>
        <v>13.387499999999998</v>
      </c>
      <c r="I35" s="62">
        <v>0</v>
      </c>
      <c r="J35" s="26">
        <f t="shared" si="6"/>
        <v>25.436249999999998</v>
      </c>
      <c r="K35" s="68">
        <f t="shared" si="7"/>
        <v>3.507372</v>
      </c>
      <c r="L35" s="68">
        <f t="shared" si="8"/>
        <v>1.6757640000000003</v>
      </c>
      <c r="M35" s="65">
        <f t="shared" si="9"/>
        <v>0.103131</v>
      </c>
      <c r="N35" s="65">
        <f t="shared" si="10"/>
        <v>0.0206262</v>
      </c>
      <c r="O35" s="65">
        <f t="shared" si="11"/>
        <v>0.077463</v>
      </c>
      <c r="P35" s="69">
        <v>0</v>
      </c>
      <c r="Q35" s="65">
        <f t="shared" si="12"/>
        <v>2.5676999999999994</v>
      </c>
      <c r="R35" s="69">
        <v>0</v>
      </c>
      <c r="S35" s="69">
        <f t="shared" si="13"/>
        <v>7.9520561999999995</v>
      </c>
    </row>
    <row r="36" spans="1:19" ht="33" customHeight="1">
      <c r="A36" s="7">
        <v>33</v>
      </c>
      <c r="B36" s="22" t="s">
        <v>83</v>
      </c>
      <c r="C36" s="23" t="s">
        <v>84</v>
      </c>
      <c r="D36" s="23" t="s">
        <v>85</v>
      </c>
      <c r="E36" s="24" t="s">
        <v>40</v>
      </c>
      <c r="F36" s="25">
        <v>12</v>
      </c>
      <c r="G36" s="26">
        <f>12.6</f>
        <v>12.6</v>
      </c>
      <c r="H36" s="26">
        <f>21.005</f>
        <v>21.005</v>
      </c>
      <c r="I36" s="62">
        <v>0</v>
      </c>
      <c r="J36" s="26">
        <f t="shared" si="6"/>
        <v>33.605</v>
      </c>
      <c r="K36" s="26">
        <f>35073.72/10000</f>
        <v>3.507372</v>
      </c>
      <c r="L36" s="26">
        <f>16757.64/10000</f>
        <v>1.675764</v>
      </c>
      <c r="M36" s="26">
        <f>1031.34/10000</f>
        <v>0.10313399999999999</v>
      </c>
      <c r="N36" s="26">
        <f>577.5/10000</f>
        <v>0.05775</v>
      </c>
      <c r="O36" s="26">
        <f>774.66/10000</f>
        <v>0.077466</v>
      </c>
      <c r="P36" s="69">
        <v>0</v>
      </c>
      <c r="Q36" s="26">
        <f>25914/10000</f>
        <v>2.5914</v>
      </c>
      <c r="R36" s="69">
        <v>0</v>
      </c>
      <c r="S36" s="26">
        <f t="shared" si="13"/>
        <v>8.012886000000002</v>
      </c>
    </row>
    <row r="37" spans="1:19" ht="33" customHeight="1">
      <c r="A37" s="7">
        <v>34</v>
      </c>
      <c r="B37" s="27"/>
      <c r="C37" s="28" t="s">
        <v>86</v>
      </c>
      <c r="D37" s="28" t="s">
        <v>87</v>
      </c>
      <c r="E37" s="24" t="s">
        <v>40</v>
      </c>
      <c r="F37" s="25">
        <v>12</v>
      </c>
      <c r="G37" s="26">
        <f>G36*0.874</f>
        <v>11.0124</v>
      </c>
      <c r="H37" s="26">
        <f>H36*0.874</f>
        <v>18.35837</v>
      </c>
      <c r="I37" s="62">
        <v>0</v>
      </c>
      <c r="J37" s="26">
        <f t="shared" si="6"/>
        <v>29.37077</v>
      </c>
      <c r="K37" s="26">
        <f>35073.72/10000</f>
        <v>3.507372</v>
      </c>
      <c r="L37" s="26">
        <f>16757.64/10000</f>
        <v>1.675764</v>
      </c>
      <c r="M37" s="26">
        <f>1031.34/10000</f>
        <v>0.10313399999999999</v>
      </c>
      <c r="N37" s="26">
        <f>577.5/10000</f>
        <v>0.05775</v>
      </c>
      <c r="O37" s="26">
        <f>774.66/10000</f>
        <v>0.077466</v>
      </c>
      <c r="P37" s="69">
        <v>0</v>
      </c>
      <c r="Q37" s="26">
        <f>25914/10000</f>
        <v>2.5914</v>
      </c>
      <c r="R37" s="69">
        <v>0</v>
      </c>
      <c r="S37" s="26">
        <f t="shared" si="13"/>
        <v>8.012886000000002</v>
      </c>
    </row>
    <row r="38" spans="1:19" ht="33" customHeight="1">
      <c r="A38" s="7">
        <v>35</v>
      </c>
      <c r="B38" s="27"/>
      <c r="C38" s="28" t="s">
        <v>88</v>
      </c>
      <c r="D38" s="28" t="s">
        <v>89</v>
      </c>
      <c r="E38" s="24" t="s">
        <v>40</v>
      </c>
      <c r="F38" s="25">
        <v>12</v>
      </c>
      <c r="G38" s="26">
        <f>G36*0.9</f>
        <v>11.34</v>
      </c>
      <c r="H38" s="26">
        <f>H36*0.9</f>
        <v>18.9045</v>
      </c>
      <c r="I38" s="62">
        <v>0</v>
      </c>
      <c r="J38" s="26">
        <f t="shared" si="6"/>
        <v>30.2445</v>
      </c>
      <c r="K38" s="26">
        <f>35073.72/10000</f>
        <v>3.507372</v>
      </c>
      <c r="L38" s="26">
        <f>16757.64/10000</f>
        <v>1.675764</v>
      </c>
      <c r="M38" s="26">
        <f>1031.34/10000</f>
        <v>0.10313399999999999</v>
      </c>
      <c r="N38" s="26">
        <f>577.5/10000</f>
        <v>0.05775</v>
      </c>
      <c r="O38" s="26">
        <f>774.66/10000</f>
        <v>0.077466</v>
      </c>
      <c r="P38" s="69">
        <v>0</v>
      </c>
      <c r="Q38" s="26">
        <f>25914/10000</f>
        <v>2.5914</v>
      </c>
      <c r="R38" s="69">
        <v>0</v>
      </c>
      <c r="S38" s="26">
        <f t="shared" si="13"/>
        <v>8.012886000000002</v>
      </c>
    </row>
    <row r="39" spans="1:19" ht="33" customHeight="1">
      <c r="A39" s="7">
        <v>36</v>
      </c>
      <c r="B39" s="27"/>
      <c r="C39" s="28" t="s">
        <v>90</v>
      </c>
      <c r="D39" s="28" t="s">
        <v>91</v>
      </c>
      <c r="E39" s="24" t="s">
        <v>40</v>
      </c>
      <c r="F39" s="25">
        <v>12</v>
      </c>
      <c r="G39" s="26">
        <f>G36*0.872</f>
        <v>10.9872</v>
      </c>
      <c r="H39" s="26">
        <f>H36*0.872</f>
        <v>18.31636</v>
      </c>
      <c r="I39" s="62">
        <v>0</v>
      </c>
      <c r="J39" s="26">
        <f t="shared" si="6"/>
        <v>29.303559999999997</v>
      </c>
      <c r="K39" s="26">
        <f>35073.72/10000</f>
        <v>3.507372</v>
      </c>
      <c r="L39" s="26">
        <f>16757.64/10000</f>
        <v>1.675764</v>
      </c>
      <c r="M39" s="26">
        <f>1031.34/10000</f>
        <v>0.10313399999999999</v>
      </c>
      <c r="N39" s="26">
        <f>577.5/10000</f>
        <v>0.05775</v>
      </c>
      <c r="O39" s="26">
        <f>774.66/10000</f>
        <v>0.077466</v>
      </c>
      <c r="P39" s="69">
        <v>0</v>
      </c>
      <c r="Q39" s="26">
        <f>25914/10000</f>
        <v>2.5914</v>
      </c>
      <c r="R39" s="69">
        <v>0</v>
      </c>
      <c r="S39" s="26">
        <f t="shared" si="13"/>
        <v>8.012886000000002</v>
      </c>
    </row>
    <row r="40" spans="1:19" ht="72.75" customHeight="1">
      <c r="A40" s="7">
        <v>37</v>
      </c>
      <c r="B40" s="22" t="s">
        <v>92</v>
      </c>
      <c r="C40" s="28" t="s">
        <v>93</v>
      </c>
      <c r="D40" s="28" t="s">
        <v>44</v>
      </c>
      <c r="E40" s="24" t="s">
        <v>40</v>
      </c>
      <c r="F40" s="25">
        <v>12</v>
      </c>
      <c r="G40" s="26">
        <f>ROUND(14.175*0.851,2)</f>
        <v>12.06</v>
      </c>
      <c r="H40" s="26">
        <f>ROUND(22.337*0.851,2)</f>
        <v>19.01</v>
      </c>
      <c r="I40" s="62">
        <v>0</v>
      </c>
      <c r="J40" s="26">
        <f t="shared" si="6"/>
        <v>31.07</v>
      </c>
      <c r="K40" s="65">
        <f>ROUND(('[1]明细表2019.01'!$E$5*4+'[1]明细表2019.05'!$E$5*2+'[1]明细表2019.07'!$E$5*6)/10000,2)</f>
        <v>3.51</v>
      </c>
      <c r="L40" s="65">
        <f>ROUND(('[1]明细表2019.01'!$I$5*6+'[1]明细表2019.07'!$I$5*3+'[1]明细表2019.10'!$I$5*3)/10000,2)</f>
        <v>1.68</v>
      </c>
      <c r="M40" s="65">
        <f>ROUND(('[1]明细表2019.01'!$M$5*6+'[1]明细表2019.07'!$M$5*6)/10000,2)</f>
        <v>0.1</v>
      </c>
      <c r="N40" s="65">
        <f>ROUND(('[1]明细表2019.01'!$L$5*6+'[1]明细表2019.07'!$L$5*6)/10000,2)</f>
        <v>0.02</v>
      </c>
      <c r="O40" s="65">
        <f>ROUND(('[1]明细表2019.01'!$P$5*6+'[1]明细表2019.07'!$P$5*3)/10000,2)</f>
        <v>0.08</v>
      </c>
      <c r="P40" s="69">
        <v>0</v>
      </c>
      <c r="Q40" s="79">
        <f>ROUND(('[2]201901'!$H$7*6+'[2]201907'!$H$7*6)/10000,2)</f>
        <v>2.59</v>
      </c>
      <c r="R40" s="69">
        <v>0</v>
      </c>
      <c r="S40" s="69">
        <f t="shared" si="13"/>
        <v>7.979999999999999</v>
      </c>
    </row>
    <row r="41" spans="1:19" ht="33" customHeight="1">
      <c r="A41" s="7">
        <v>38</v>
      </c>
      <c r="B41" s="39" t="s">
        <v>94</v>
      </c>
      <c r="C41" s="40" t="s">
        <v>95</v>
      </c>
      <c r="D41" s="41" t="s">
        <v>85</v>
      </c>
      <c r="E41" s="42" t="s">
        <v>40</v>
      </c>
      <c r="F41" s="43">
        <v>12</v>
      </c>
      <c r="G41" s="26">
        <v>14.175</v>
      </c>
      <c r="H41" s="26">
        <v>18.437</v>
      </c>
      <c r="I41" s="62">
        <v>0</v>
      </c>
      <c r="J41" s="26">
        <f t="shared" si="6"/>
        <v>32.612</v>
      </c>
      <c r="K41" s="65">
        <v>3.507372</v>
      </c>
      <c r="L41" s="65">
        <v>1.650096</v>
      </c>
      <c r="M41" s="65">
        <v>0.10313400000000002</v>
      </c>
      <c r="N41" s="65">
        <v>0.07424999999999998</v>
      </c>
      <c r="O41" s="65">
        <v>0.10313400000000002</v>
      </c>
      <c r="P41" s="69">
        <v>0</v>
      </c>
      <c r="Q41" s="79">
        <v>2.5914</v>
      </c>
      <c r="R41" s="69">
        <v>0</v>
      </c>
      <c r="S41" s="69">
        <f t="shared" si="13"/>
        <v>8.029385999999999</v>
      </c>
    </row>
    <row r="42" spans="1:19" ht="33" customHeight="1">
      <c r="A42" s="7">
        <v>39</v>
      </c>
      <c r="B42" s="44"/>
      <c r="C42" s="45" t="s">
        <v>96</v>
      </c>
      <c r="D42" s="42" t="s">
        <v>44</v>
      </c>
      <c r="E42" s="42" t="s">
        <v>97</v>
      </c>
      <c r="F42" s="43">
        <v>10</v>
      </c>
      <c r="G42" s="26">
        <v>10.084187392795883</v>
      </c>
      <c r="H42" s="26">
        <v>13.116273113207548</v>
      </c>
      <c r="I42" s="62">
        <v>0</v>
      </c>
      <c r="J42" s="26">
        <f t="shared" si="6"/>
        <v>23.20046050600343</v>
      </c>
      <c r="K42" s="65">
        <v>2.851302</v>
      </c>
      <c r="L42" s="65">
        <v>1.3738560000000002</v>
      </c>
      <c r="M42" s="65">
        <v>0.08586800000000001</v>
      </c>
      <c r="N42" s="65">
        <v>0.06181999999999999</v>
      </c>
      <c r="O42" s="65">
        <v>0.085868</v>
      </c>
      <c r="P42" s="69">
        <v>0</v>
      </c>
      <c r="Q42" s="79">
        <v>2.1832</v>
      </c>
      <c r="R42" s="69">
        <v>0</v>
      </c>
      <c r="S42" s="69">
        <f t="shared" si="13"/>
        <v>6.641914</v>
      </c>
    </row>
    <row r="43" spans="1:19" ht="33" customHeight="1">
      <c r="A43" s="7">
        <v>40</v>
      </c>
      <c r="B43" s="44"/>
      <c r="C43" s="45" t="s">
        <v>98</v>
      </c>
      <c r="D43" s="42" t="s">
        <v>91</v>
      </c>
      <c r="E43" s="42" t="s">
        <v>40</v>
      </c>
      <c r="F43" s="43">
        <v>12</v>
      </c>
      <c r="G43" s="26">
        <v>12.115613207547169</v>
      </c>
      <c r="H43" s="26">
        <v>15.758502452830186</v>
      </c>
      <c r="I43" s="62">
        <v>0</v>
      </c>
      <c r="J43" s="26">
        <f t="shared" si="6"/>
        <v>27.874115660377356</v>
      </c>
      <c r="K43" s="65">
        <v>3.507372</v>
      </c>
      <c r="L43" s="65">
        <v>1.650096</v>
      </c>
      <c r="M43" s="65">
        <v>0.10313400000000002</v>
      </c>
      <c r="N43" s="65">
        <v>0.07425</v>
      </c>
      <c r="O43" s="65">
        <v>0.10313400000000002</v>
      </c>
      <c r="P43" s="69">
        <v>0</v>
      </c>
      <c r="Q43" s="79">
        <v>2.5914</v>
      </c>
      <c r="R43" s="69">
        <v>0</v>
      </c>
      <c r="S43" s="69">
        <f t="shared" si="13"/>
        <v>8.029385999999999</v>
      </c>
    </row>
    <row r="44" spans="1:19" ht="33" customHeight="1">
      <c r="A44" s="7">
        <v>41</v>
      </c>
      <c r="B44" s="46"/>
      <c r="C44" s="45" t="s">
        <v>99</v>
      </c>
      <c r="D44" s="42" t="s">
        <v>100</v>
      </c>
      <c r="E44" s="42" t="s">
        <v>40</v>
      </c>
      <c r="F44" s="43">
        <v>12</v>
      </c>
      <c r="G44" s="26">
        <v>11.871663807890224</v>
      </c>
      <c r="H44" s="26">
        <v>15.441203018867927</v>
      </c>
      <c r="I44" s="62">
        <v>0</v>
      </c>
      <c r="J44" s="26">
        <f t="shared" si="6"/>
        <v>27.312866826758153</v>
      </c>
      <c r="K44" s="65">
        <v>3.507372</v>
      </c>
      <c r="L44" s="65">
        <v>1.650096</v>
      </c>
      <c r="M44" s="65">
        <v>0.10313400000000002</v>
      </c>
      <c r="N44" s="65">
        <v>0.07425</v>
      </c>
      <c r="O44" s="65">
        <v>0.10313400000000002</v>
      </c>
      <c r="P44" s="69">
        <v>0</v>
      </c>
      <c r="Q44" s="79">
        <v>2.5914</v>
      </c>
      <c r="R44" s="69">
        <v>0</v>
      </c>
      <c r="S44" s="69">
        <f t="shared" si="13"/>
        <v>8.029385999999999</v>
      </c>
    </row>
    <row r="45" spans="1:19" ht="33" customHeight="1">
      <c r="A45" s="7">
        <v>42</v>
      </c>
      <c r="B45" s="47" t="s">
        <v>101</v>
      </c>
      <c r="C45" s="37" t="s">
        <v>102</v>
      </c>
      <c r="D45" s="48" t="s">
        <v>55</v>
      </c>
      <c r="E45" s="49" t="s">
        <v>40</v>
      </c>
      <c r="F45" s="50">
        <v>12</v>
      </c>
      <c r="G45" s="51">
        <v>12.6</v>
      </c>
      <c r="H45" s="51">
        <f>G45*1.356*1.031</f>
        <v>17.6152536</v>
      </c>
      <c r="I45" s="62">
        <v>0</v>
      </c>
      <c r="J45" s="26">
        <f>SUM(G45:I45)</f>
        <v>30.215253599999997</v>
      </c>
      <c r="K45" s="70">
        <v>2.1428</v>
      </c>
      <c r="L45" s="70">
        <v>1.030825</v>
      </c>
      <c r="M45" s="70">
        <v>0.063325</v>
      </c>
      <c r="N45" s="70">
        <v>0.0422905</v>
      </c>
      <c r="O45" s="70">
        <v>0.0457</v>
      </c>
      <c r="P45" s="71">
        <v>0</v>
      </c>
      <c r="Q45" s="80">
        <v>1.512</v>
      </c>
      <c r="R45" s="69">
        <v>0</v>
      </c>
      <c r="S45" s="71">
        <f t="shared" si="13"/>
        <v>4.8369405</v>
      </c>
    </row>
    <row r="46" spans="1:19" ht="36.75" customHeight="1">
      <c r="A46" s="52">
        <v>43</v>
      </c>
      <c r="B46" s="47"/>
      <c r="C46" s="38" t="s">
        <v>103</v>
      </c>
      <c r="D46" s="53" t="s">
        <v>104</v>
      </c>
      <c r="E46" s="49" t="s">
        <v>105</v>
      </c>
      <c r="F46" s="50">
        <v>4.5</v>
      </c>
      <c r="G46" s="51">
        <f>G49/12*F46</f>
        <v>4.077674999999999</v>
      </c>
      <c r="H46" s="51">
        <f>G46*1.356*1.031</f>
        <v>5.700736446299999</v>
      </c>
      <c r="I46" s="62">
        <v>0</v>
      </c>
      <c r="J46" s="72">
        <f>SUM(G46:I47)</f>
        <v>28.662944946299998</v>
      </c>
      <c r="K46" s="73">
        <v>2.06406</v>
      </c>
      <c r="L46" s="73">
        <v>0.995265</v>
      </c>
      <c r="M46" s="73">
        <v>0.0611025</v>
      </c>
      <c r="N46" s="73">
        <v>0.0408681</v>
      </c>
      <c r="O46" s="73">
        <v>0.0434775</v>
      </c>
      <c r="P46" s="71">
        <v>0</v>
      </c>
      <c r="Q46" s="80">
        <v>1.4432</v>
      </c>
      <c r="R46" s="69">
        <v>0</v>
      </c>
      <c r="S46" s="81">
        <f t="shared" si="13"/>
        <v>4.6479731</v>
      </c>
    </row>
    <row r="47" spans="1:19" ht="36.75" customHeight="1">
      <c r="A47" s="52"/>
      <c r="B47" s="47"/>
      <c r="C47" s="38"/>
      <c r="D47" s="48" t="s">
        <v>106</v>
      </c>
      <c r="E47" s="49" t="s">
        <v>107</v>
      </c>
      <c r="F47" s="50">
        <v>7.5</v>
      </c>
      <c r="G47" s="51">
        <f>G45/12*F47</f>
        <v>7.875</v>
      </c>
      <c r="H47" s="51">
        <f>G47*1.356*1.031</f>
        <v>11.0095335</v>
      </c>
      <c r="I47" s="62">
        <v>0</v>
      </c>
      <c r="J47" s="74"/>
      <c r="K47" s="75"/>
      <c r="L47" s="75"/>
      <c r="M47" s="75"/>
      <c r="N47" s="75"/>
      <c r="O47" s="75"/>
      <c r="P47" s="71">
        <v>0</v>
      </c>
      <c r="Q47" s="80"/>
      <c r="R47" s="82"/>
      <c r="S47" s="82"/>
    </row>
    <row r="48" spans="1:19" ht="33" customHeight="1">
      <c r="A48" s="7">
        <v>44</v>
      </c>
      <c r="B48" s="47"/>
      <c r="C48" s="38" t="s">
        <v>108</v>
      </c>
      <c r="D48" s="53" t="s">
        <v>109</v>
      </c>
      <c r="E48" s="49" t="s">
        <v>40</v>
      </c>
      <c r="F48" s="50">
        <v>12</v>
      </c>
      <c r="G48" s="51">
        <f>12.6*0.86</f>
        <v>10.836</v>
      </c>
      <c r="H48" s="51">
        <f>G48*1.356*1.031</f>
        <v>15.149118096</v>
      </c>
      <c r="I48" s="62">
        <v>0</v>
      </c>
      <c r="J48" s="26">
        <f>SUM(G48:I48)</f>
        <v>25.985118096</v>
      </c>
      <c r="K48" s="70">
        <v>1.81956</v>
      </c>
      <c r="L48" s="70">
        <v>0.875382</v>
      </c>
      <c r="M48" s="70">
        <v>0.053775</v>
      </c>
      <c r="N48" s="70">
        <v>0.0359142</v>
      </c>
      <c r="O48" s="70">
        <v>0.038793</v>
      </c>
      <c r="P48" s="71">
        <v>0</v>
      </c>
      <c r="Q48" s="80">
        <v>1.3008</v>
      </c>
      <c r="R48" s="71">
        <v>0</v>
      </c>
      <c r="S48" s="71">
        <f>SUM(K48:R48)</f>
        <v>4.1242242000000005</v>
      </c>
    </row>
    <row r="49" spans="1:19" ht="33" customHeight="1">
      <c r="A49" s="7">
        <v>45</v>
      </c>
      <c r="B49" s="47"/>
      <c r="C49" s="38" t="s">
        <v>110</v>
      </c>
      <c r="D49" s="53" t="s">
        <v>111</v>
      </c>
      <c r="E49" s="49" t="s">
        <v>40</v>
      </c>
      <c r="F49" s="50">
        <v>12</v>
      </c>
      <c r="G49" s="51">
        <f>12.6*0.863</f>
        <v>10.8738</v>
      </c>
      <c r="H49" s="51">
        <f>G49*1.356*1.031</f>
        <v>15.201963856799999</v>
      </c>
      <c r="I49" s="62">
        <v>0</v>
      </c>
      <c r="J49" s="26">
        <f>SUM(G49:I49)</f>
        <v>26.0757638568</v>
      </c>
      <c r="K49" s="70">
        <v>1.889</v>
      </c>
      <c r="L49" s="70">
        <v>0.906742</v>
      </c>
      <c r="M49" s="70">
        <v>0.055735</v>
      </c>
      <c r="N49" s="70">
        <v>0.0371686</v>
      </c>
      <c r="O49" s="70">
        <v>0.440753</v>
      </c>
      <c r="P49" s="71">
        <v>0</v>
      </c>
      <c r="Q49" s="80">
        <v>1.3056</v>
      </c>
      <c r="R49" s="71">
        <v>0</v>
      </c>
      <c r="S49" s="71">
        <f>SUM(K49:R49)</f>
        <v>4.6349986</v>
      </c>
    </row>
    <row r="50" spans="1:19" ht="33" customHeight="1">
      <c r="A50" s="7">
        <v>46</v>
      </c>
      <c r="B50" s="22" t="s">
        <v>112</v>
      </c>
      <c r="C50" s="23" t="s">
        <v>113</v>
      </c>
      <c r="D50" s="23" t="s">
        <v>85</v>
      </c>
      <c r="E50" s="24" t="s">
        <v>40</v>
      </c>
      <c r="F50" s="25">
        <v>12</v>
      </c>
      <c r="G50" s="26">
        <f>14.175*1</f>
        <v>14.175</v>
      </c>
      <c r="H50" s="26">
        <v>25.531</v>
      </c>
      <c r="I50" s="62">
        <v>0</v>
      </c>
      <c r="J50" s="26">
        <f aca="true" t="shared" si="14" ref="J50:J66">SUM(G50+H50)</f>
        <v>39.706</v>
      </c>
      <c r="K50" s="65">
        <v>3.507</v>
      </c>
      <c r="L50" s="65">
        <v>1.676</v>
      </c>
      <c r="M50" s="65">
        <v>0.103</v>
      </c>
      <c r="N50" s="65">
        <v>0.041</v>
      </c>
      <c r="O50" s="65">
        <v>0.077</v>
      </c>
      <c r="P50" s="69">
        <v>0</v>
      </c>
      <c r="Q50" s="79">
        <v>2.591</v>
      </c>
      <c r="R50" s="69">
        <v>0</v>
      </c>
      <c r="S50" s="69">
        <f aca="true" t="shared" si="15" ref="S50:S66">SUM(K50:R50)</f>
        <v>7.995</v>
      </c>
    </row>
    <row r="51" spans="1:19" ht="33" customHeight="1">
      <c r="A51" s="7">
        <v>47</v>
      </c>
      <c r="B51" s="27"/>
      <c r="C51" s="23" t="s">
        <v>114</v>
      </c>
      <c r="D51" s="23" t="s">
        <v>115</v>
      </c>
      <c r="E51" s="24" t="s">
        <v>40</v>
      </c>
      <c r="F51" s="25">
        <v>12</v>
      </c>
      <c r="G51" s="26">
        <f>14.175*1</f>
        <v>14.175</v>
      </c>
      <c r="H51" s="26">
        <v>25.531</v>
      </c>
      <c r="I51" s="62">
        <v>0</v>
      </c>
      <c r="J51" s="26">
        <f t="shared" si="14"/>
        <v>39.706</v>
      </c>
      <c r="K51" s="65">
        <v>3.507</v>
      </c>
      <c r="L51" s="65">
        <v>1.676</v>
      </c>
      <c r="M51" s="65">
        <v>0.103</v>
      </c>
      <c r="N51" s="65">
        <v>0.041</v>
      </c>
      <c r="O51" s="65">
        <v>0.077</v>
      </c>
      <c r="P51" s="69">
        <v>0</v>
      </c>
      <c r="Q51" s="79">
        <v>2.591</v>
      </c>
      <c r="R51" s="69">
        <v>0</v>
      </c>
      <c r="S51" s="69">
        <f t="shared" si="15"/>
        <v>7.995</v>
      </c>
    </row>
    <row r="52" spans="1:19" ht="33" customHeight="1">
      <c r="A52" s="7">
        <v>48</v>
      </c>
      <c r="B52" s="27"/>
      <c r="C52" s="28" t="s">
        <v>116</v>
      </c>
      <c r="D52" s="28" t="s">
        <v>44</v>
      </c>
      <c r="E52" s="24" t="s">
        <v>40</v>
      </c>
      <c r="F52" s="25">
        <v>12</v>
      </c>
      <c r="G52" s="26">
        <f>ROUND(14.175*0.87,3)</f>
        <v>12.332</v>
      </c>
      <c r="H52" s="26">
        <f>25.531*0.87</f>
        <v>22.211969999999997</v>
      </c>
      <c r="I52" s="62">
        <v>0</v>
      </c>
      <c r="J52" s="26">
        <f t="shared" si="14"/>
        <v>34.54397</v>
      </c>
      <c r="K52" s="65">
        <v>3.507</v>
      </c>
      <c r="L52" s="65">
        <v>1.676</v>
      </c>
      <c r="M52" s="65">
        <v>0.103</v>
      </c>
      <c r="N52" s="65">
        <v>0.041</v>
      </c>
      <c r="O52" s="65">
        <v>0.077</v>
      </c>
      <c r="P52" s="69">
        <v>0</v>
      </c>
      <c r="Q52" s="79">
        <v>2.591</v>
      </c>
      <c r="R52" s="69">
        <v>0</v>
      </c>
      <c r="S52" s="69">
        <f t="shared" si="15"/>
        <v>7.995</v>
      </c>
    </row>
    <row r="53" spans="1:19" ht="33" customHeight="1">
      <c r="A53" s="7">
        <v>49</v>
      </c>
      <c r="B53" s="27"/>
      <c r="C53" s="28" t="s">
        <v>117</v>
      </c>
      <c r="D53" s="28" t="s">
        <v>118</v>
      </c>
      <c r="E53" s="24" t="s">
        <v>40</v>
      </c>
      <c r="F53" s="25">
        <v>12</v>
      </c>
      <c r="G53" s="26">
        <f>ROUND(14.175*0.876,3)</f>
        <v>12.417</v>
      </c>
      <c r="H53" s="26">
        <f>ROUND(25.531*0.876,3)</f>
        <v>22.365</v>
      </c>
      <c r="I53" s="62">
        <v>0</v>
      </c>
      <c r="J53" s="26">
        <f t="shared" si="14"/>
        <v>34.782</v>
      </c>
      <c r="K53" s="65">
        <v>3.507</v>
      </c>
      <c r="L53" s="65">
        <v>1.676</v>
      </c>
      <c r="M53" s="65">
        <v>0.103</v>
      </c>
      <c r="N53" s="65">
        <v>0.041</v>
      </c>
      <c r="O53" s="65">
        <v>0.077</v>
      </c>
      <c r="P53" s="69">
        <v>0</v>
      </c>
      <c r="Q53" s="79">
        <v>2.591</v>
      </c>
      <c r="R53" s="69">
        <v>0</v>
      </c>
      <c r="S53" s="69">
        <f t="shared" si="15"/>
        <v>7.995</v>
      </c>
    </row>
    <row r="54" spans="1:19" ht="33" customHeight="1">
      <c r="A54" s="7">
        <v>50</v>
      </c>
      <c r="B54" s="27"/>
      <c r="C54" s="28" t="s">
        <v>119</v>
      </c>
      <c r="D54" s="28" t="s">
        <v>91</v>
      </c>
      <c r="E54" s="24" t="s">
        <v>40</v>
      </c>
      <c r="F54" s="25">
        <v>12</v>
      </c>
      <c r="G54" s="26">
        <f>ROUND(14.175*0.875,3)</f>
        <v>12.403</v>
      </c>
      <c r="H54" s="26">
        <f>ROUND(25.531*0.875,3)</f>
        <v>22.34</v>
      </c>
      <c r="I54" s="62">
        <v>0</v>
      </c>
      <c r="J54" s="26">
        <f t="shared" si="14"/>
        <v>34.743</v>
      </c>
      <c r="K54" s="65">
        <v>3.507</v>
      </c>
      <c r="L54" s="65">
        <v>1.676</v>
      </c>
      <c r="M54" s="65">
        <v>0.103</v>
      </c>
      <c r="N54" s="65">
        <v>0.041</v>
      </c>
      <c r="O54" s="65">
        <v>0.077</v>
      </c>
      <c r="P54" s="69">
        <v>0</v>
      </c>
      <c r="Q54" s="79">
        <v>2.591</v>
      </c>
      <c r="R54" s="69">
        <v>0</v>
      </c>
      <c r="S54" s="69">
        <f t="shared" si="15"/>
        <v>7.995</v>
      </c>
    </row>
    <row r="55" spans="1:19" ht="33" customHeight="1">
      <c r="A55" s="7">
        <v>51</v>
      </c>
      <c r="B55" s="27"/>
      <c r="C55" s="28" t="s">
        <v>120</v>
      </c>
      <c r="D55" s="28" t="s">
        <v>121</v>
      </c>
      <c r="E55" s="24" t="s">
        <v>40</v>
      </c>
      <c r="F55" s="25">
        <v>12</v>
      </c>
      <c r="G55" s="26">
        <f>ROUND(14.175*0.9,3)</f>
        <v>12.758</v>
      </c>
      <c r="H55" s="26">
        <f>ROUND(25.531*0.9,3)</f>
        <v>22.978</v>
      </c>
      <c r="I55" s="62">
        <v>0</v>
      </c>
      <c r="J55" s="26">
        <f t="shared" si="14"/>
        <v>35.736000000000004</v>
      </c>
      <c r="K55" s="65">
        <v>3.507</v>
      </c>
      <c r="L55" s="65">
        <v>1.676</v>
      </c>
      <c r="M55" s="65">
        <v>0.103</v>
      </c>
      <c r="N55" s="65">
        <v>0.041</v>
      </c>
      <c r="O55" s="65">
        <v>0.077</v>
      </c>
      <c r="P55" s="69">
        <v>0</v>
      </c>
      <c r="Q55" s="79">
        <v>2.591</v>
      </c>
      <c r="R55" s="69">
        <v>0</v>
      </c>
      <c r="S55" s="69">
        <f t="shared" si="15"/>
        <v>7.995</v>
      </c>
    </row>
    <row r="56" spans="1:19" ht="33" customHeight="1">
      <c r="A56" s="7">
        <v>52</v>
      </c>
      <c r="B56" s="27"/>
      <c r="C56" s="29" t="s">
        <v>122</v>
      </c>
      <c r="D56" s="30" t="s">
        <v>123</v>
      </c>
      <c r="E56" s="24" t="s">
        <v>40</v>
      </c>
      <c r="F56" s="25">
        <v>12</v>
      </c>
      <c r="G56" s="26">
        <f>ROUND(14.175*0.869,3)</f>
        <v>12.318</v>
      </c>
      <c r="H56" s="26">
        <f>ROUND(25.531*0.869,3)</f>
        <v>22.186</v>
      </c>
      <c r="I56" s="62">
        <v>0</v>
      </c>
      <c r="J56" s="26">
        <f t="shared" si="14"/>
        <v>34.504</v>
      </c>
      <c r="K56" s="65">
        <v>3.507</v>
      </c>
      <c r="L56" s="65">
        <v>1.676</v>
      </c>
      <c r="M56" s="65">
        <v>0.103</v>
      </c>
      <c r="N56" s="65">
        <v>0.041</v>
      </c>
      <c r="O56" s="65">
        <v>0.077</v>
      </c>
      <c r="P56" s="69">
        <v>0</v>
      </c>
      <c r="Q56" s="79">
        <v>2.554</v>
      </c>
      <c r="R56" s="69">
        <v>0</v>
      </c>
      <c r="S56" s="69">
        <f t="shared" si="15"/>
        <v>7.958</v>
      </c>
    </row>
    <row r="57" spans="1:19" ht="33" customHeight="1">
      <c r="A57" s="7">
        <v>53</v>
      </c>
      <c r="B57" s="54"/>
      <c r="C57" s="29" t="s">
        <v>124</v>
      </c>
      <c r="D57" s="29" t="s">
        <v>35</v>
      </c>
      <c r="E57" s="24" t="s">
        <v>125</v>
      </c>
      <c r="F57" s="55">
        <v>9.5</v>
      </c>
      <c r="G57" s="56">
        <f>ROUND(14.175*0.9*9.5/12,3)</f>
        <v>10.1</v>
      </c>
      <c r="H57" s="56">
        <f>ROUND(25.531*0.9*9.5/12,3)</f>
        <v>18.191</v>
      </c>
      <c r="I57" s="62">
        <v>0</v>
      </c>
      <c r="J57" s="26">
        <f t="shared" si="14"/>
        <v>28.290999999999997</v>
      </c>
      <c r="K57" s="65">
        <v>1.781</v>
      </c>
      <c r="L57" s="65">
        <v>0.891</v>
      </c>
      <c r="M57" s="65">
        <v>0.055</v>
      </c>
      <c r="N57" s="65">
        <v>0.022</v>
      </c>
      <c r="O57" s="65">
        <v>0.036</v>
      </c>
      <c r="P57" s="69">
        <v>0</v>
      </c>
      <c r="Q57" s="79">
        <v>1.309</v>
      </c>
      <c r="R57" s="69">
        <v>0</v>
      </c>
      <c r="S57" s="69">
        <f t="shared" si="15"/>
        <v>4.093999999999999</v>
      </c>
    </row>
    <row r="58" spans="1:20" ht="33" customHeight="1">
      <c r="A58" s="7">
        <v>54</v>
      </c>
      <c r="B58" s="36" t="s">
        <v>126</v>
      </c>
      <c r="C58" s="23" t="s">
        <v>127</v>
      </c>
      <c r="D58" s="23" t="s">
        <v>55</v>
      </c>
      <c r="E58" s="24" t="s">
        <v>40</v>
      </c>
      <c r="F58" s="25">
        <v>12</v>
      </c>
      <c r="G58" s="26">
        <v>14.175</v>
      </c>
      <c r="H58" s="26">
        <v>24.678675000000002</v>
      </c>
      <c r="I58" s="62">
        <v>0</v>
      </c>
      <c r="J58" s="26">
        <f t="shared" si="14"/>
        <v>38.853675</v>
      </c>
      <c r="K58" s="65">
        <v>3.191</v>
      </c>
      <c r="L58" s="65">
        <v>1.502</v>
      </c>
      <c r="M58" s="65">
        <v>0.094</v>
      </c>
      <c r="N58" s="65">
        <v>0.053</v>
      </c>
      <c r="O58" s="65">
        <v>0.094</v>
      </c>
      <c r="P58" s="69">
        <v>0</v>
      </c>
      <c r="Q58" s="79">
        <v>2.41</v>
      </c>
      <c r="R58" s="69">
        <v>0</v>
      </c>
      <c r="S58" s="69">
        <f t="shared" si="15"/>
        <v>7.344</v>
      </c>
      <c r="T58" s="77"/>
    </row>
    <row r="59" spans="1:20" ht="33" customHeight="1">
      <c r="A59" s="7">
        <v>55</v>
      </c>
      <c r="B59" s="36"/>
      <c r="C59" s="23" t="s">
        <v>128</v>
      </c>
      <c r="D59" s="23" t="s">
        <v>129</v>
      </c>
      <c r="E59" s="24" t="s">
        <v>40</v>
      </c>
      <c r="F59" s="25">
        <v>12</v>
      </c>
      <c r="G59" s="26">
        <v>14.175</v>
      </c>
      <c r="H59" s="26">
        <v>24.678675000000002</v>
      </c>
      <c r="I59" s="62">
        <v>0</v>
      </c>
      <c r="J59" s="26">
        <f t="shared" si="14"/>
        <v>38.853675</v>
      </c>
      <c r="K59" s="65">
        <v>3.057</v>
      </c>
      <c r="L59" s="65">
        <v>1.439</v>
      </c>
      <c r="M59" s="65">
        <v>0.09</v>
      </c>
      <c r="N59" s="65">
        <v>0.05</v>
      </c>
      <c r="O59" s="65">
        <v>0.09</v>
      </c>
      <c r="P59" s="69">
        <v>0</v>
      </c>
      <c r="Q59" s="79">
        <v>2.35</v>
      </c>
      <c r="R59" s="69">
        <v>0</v>
      </c>
      <c r="S59" s="69">
        <f t="shared" si="15"/>
        <v>7.0760000000000005</v>
      </c>
      <c r="T59" s="77"/>
    </row>
    <row r="60" spans="1:20" ht="33" customHeight="1">
      <c r="A60" s="7">
        <v>56</v>
      </c>
      <c r="B60" s="36"/>
      <c r="C60" s="28" t="s">
        <v>130</v>
      </c>
      <c r="D60" s="28" t="s">
        <v>28</v>
      </c>
      <c r="E60" s="24" t="s">
        <v>40</v>
      </c>
      <c r="F60" s="25">
        <v>12</v>
      </c>
      <c r="G60" s="26">
        <v>12.346425</v>
      </c>
      <c r="H60" s="26">
        <v>21.495125925</v>
      </c>
      <c r="I60" s="62">
        <v>0</v>
      </c>
      <c r="J60" s="26">
        <f t="shared" si="14"/>
        <v>33.841550925</v>
      </c>
      <c r="K60" s="65">
        <v>2.956</v>
      </c>
      <c r="L60" s="65">
        <v>1.391</v>
      </c>
      <c r="M60" s="65">
        <v>0.087</v>
      </c>
      <c r="N60" s="65">
        <v>0.049</v>
      </c>
      <c r="O60" s="65">
        <v>0.087</v>
      </c>
      <c r="P60" s="69">
        <v>0</v>
      </c>
      <c r="Q60" s="79">
        <v>2.302</v>
      </c>
      <c r="R60" s="69">
        <v>0</v>
      </c>
      <c r="S60" s="69">
        <f t="shared" si="15"/>
        <v>6.872</v>
      </c>
      <c r="T60" s="77"/>
    </row>
    <row r="61" spans="1:20" ht="33" customHeight="1">
      <c r="A61" s="7">
        <v>57</v>
      </c>
      <c r="B61" s="36"/>
      <c r="C61" s="57" t="s">
        <v>131</v>
      </c>
      <c r="D61" s="58" t="s">
        <v>132</v>
      </c>
      <c r="E61" s="24" t="s">
        <v>40</v>
      </c>
      <c r="F61" s="25">
        <v>12</v>
      </c>
      <c r="G61" s="26">
        <v>12.289725</v>
      </c>
      <c r="H61" s="26">
        <v>21.396411225</v>
      </c>
      <c r="I61" s="62">
        <v>0</v>
      </c>
      <c r="J61" s="26">
        <f t="shared" si="14"/>
        <v>33.686136225</v>
      </c>
      <c r="K61" s="65">
        <v>3.094</v>
      </c>
      <c r="L61" s="65">
        <v>1.456</v>
      </c>
      <c r="M61" s="65">
        <v>0.091</v>
      </c>
      <c r="N61" s="65">
        <v>0.051</v>
      </c>
      <c r="O61" s="65">
        <v>0.091</v>
      </c>
      <c r="P61" s="69">
        <v>0</v>
      </c>
      <c r="Q61" s="79">
        <v>2.367</v>
      </c>
      <c r="R61" s="69">
        <v>0</v>
      </c>
      <c r="S61" s="69">
        <f t="shared" si="15"/>
        <v>7.15</v>
      </c>
      <c r="T61" s="77"/>
    </row>
    <row r="62" spans="1:20" ht="33" customHeight="1">
      <c r="A62" s="7">
        <v>58</v>
      </c>
      <c r="B62" s="36"/>
      <c r="C62" s="57" t="s">
        <v>133</v>
      </c>
      <c r="D62" s="58" t="s">
        <v>91</v>
      </c>
      <c r="E62" s="24" t="s">
        <v>40</v>
      </c>
      <c r="F62" s="25">
        <v>12</v>
      </c>
      <c r="G62" s="26">
        <v>12.346425</v>
      </c>
      <c r="H62" s="26">
        <v>21.495125925</v>
      </c>
      <c r="I62" s="62">
        <v>0</v>
      </c>
      <c r="J62" s="26">
        <f t="shared" si="14"/>
        <v>33.841550925</v>
      </c>
      <c r="K62" s="65">
        <v>2.956</v>
      </c>
      <c r="L62" s="65">
        <v>1.391</v>
      </c>
      <c r="M62" s="65">
        <v>0.087</v>
      </c>
      <c r="N62" s="65">
        <v>0.049</v>
      </c>
      <c r="O62" s="65">
        <v>0.087</v>
      </c>
      <c r="P62" s="69">
        <v>0</v>
      </c>
      <c r="Q62" s="79">
        <v>2.302</v>
      </c>
      <c r="R62" s="69">
        <v>0</v>
      </c>
      <c r="S62" s="69">
        <f t="shared" si="15"/>
        <v>6.872</v>
      </c>
      <c r="T62" s="77"/>
    </row>
    <row r="63" spans="1:20" ht="33" customHeight="1">
      <c r="A63" s="7">
        <v>59</v>
      </c>
      <c r="B63" s="36"/>
      <c r="C63" s="57" t="s">
        <v>134</v>
      </c>
      <c r="D63" s="58" t="s">
        <v>71</v>
      </c>
      <c r="E63" s="24" t="s">
        <v>40</v>
      </c>
      <c r="F63" s="25">
        <v>12</v>
      </c>
      <c r="G63" s="26">
        <v>12.318075</v>
      </c>
      <c r="H63" s="26">
        <v>21.445768575000002</v>
      </c>
      <c r="I63" s="62">
        <v>0</v>
      </c>
      <c r="J63" s="26">
        <f t="shared" si="14"/>
        <v>33.763843575</v>
      </c>
      <c r="K63" s="65">
        <v>3.158</v>
      </c>
      <c r="L63" s="65">
        <v>1.486</v>
      </c>
      <c r="M63" s="65">
        <v>0.093</v>
      </c>
      <c r="N63" s="65">
        <v>0.052</v>
      </c>
      <c r="O63" s="65">
        <v>0.093</v>
      </c>
      <c r="P63" s="69">
        <v>0</v>
      </c>
      <c r="Q63" s="79">
        <v>2.398</v>
      </c>
      <c r="R63" s="69">
        <v>0</v>
      </c>
      <c r="S63" s="69">
        <f t="shared" si="15"/>
        <v>7.279999999999999</v>
      </c>
      <c r="T63" s="77"/>
    </row>
    <row r="64" spans="1:20" ht="33" customHeight="1">
      <c r="A64" s="7">
        <v>60</v>
      </c>
      <c r="B64" s="36"/>
      <c r="C64" s="57" t="s">
        <v>135</v>
      </c>
      <c r="D64" s="58" t="s">
        <v>35</v>
      </c>
      <c r="E64" s="24" t="s">
        <v>40</v>
      </c>
      <c r="F64" s="25">
        <v>12</v>
      </c>
      <c r="G64" s="26">
        <v>12.388950000000001</v>
      </c>
      <c r="H64" s="26">
        <v>21.569161950000005</v>
      </c>
      <c r="I64" s="62">
        <v>0</v>
      </c>
      <c r="J64" s="26">
        <f t="shared" si="14"/>
        <v>33.95811195</v>
      </c>
      <c r="K64" s="65">
        <v>2.956</v>
      </c>
      <c r="L64" s="65">
        <v>1.391</v>
      </c>
      <c r="M64" s="65">
        <v>0.087</v>
      </c>
      <c r="N64" s="65">
        <v>0.049</v>
      </c>
      <c r="O64" s="65">
        <v>0.087</v>
      </c>
      <c r="P64" s="69">
        <v>0</v>
      </c>
      <c r="Q64" s="79">
        <v>2.279</v>
      </c>
      <c r="R64" s="69">
        <v>0</v>
      </c>
      <c r="S64" s="69">
        <f t="shared" si="15"/>
        <v>6.848999999999999</v>
      </c>
      <c r="T64" s="77"/>
    </row>
    <row r="65" spans="1:20" ht="33" customHeight="1">
      <c r="A65" s="7">
        <v>61</v>
      </c>
      <c r="B65" s="36"/>
      <c r="C65" s="57" t="s">
        <v>136</v>
      </c>
      <c r="D65" s="58" t="s">
        <v>35</v>
      </c>
      <c r="E65" s="24" t="s">
        <v>40</v>
      </c>
      <c r="F65" s="25">
        <v>12</v>
      </c>
      <c r="G65" s="26">
        <v>12.7575</v>
      </c>
      <c r="H65" s="26">
        <v>22.2108075</v>
      </c>
      <c r="I65" s="62">
        <v>0</v>
      </c>
      <c r="J65" s="26">
        <f t="shared" si="14"/>
        <v>34.9683075</v>
      </c>
      <c r="K65" s="65">
        <v>2.282</v>
      </c>
      <c r="L65" s="65">
        <v>1.074</v>
      </c>
      <c r="M65" s="65">
        <v>0.067</v>
      </c>
      <c r="N65" s="65">
        <v>0.038</v>
      </c>
      <c r="O65" s="65">
        <v>0.067</v>
      </c>
      <c r="P65" s="69">
        <v>0</v>
      </c>
      <c r="Q65" s="79">
        <v>1.985</v>
      </c>
      <c r="R65" s="69">
        <v>0</v>
      </c>
      <c r="S65" s="69">
        <f t="shared" si="15"/>
        <v>5.513</v>
      </c>
      <c r="T65" s="77"/>
    </row>
    <row r="66" spans="1:19" ht="36.75" customHeight="1">
      <c r="A66" s="7">
        <v>62</v>
      </c>
      <c r="B66" s="22" t="s">
        <v>137</v>
      </c>
      <c r="C66" s="23" t="s">
        <v>138</v>
      </c>
      <c r="D66" s="23" t="s">
        <v>55</v>
      </c>
      <c r="E66" s="24" t="s">
        <v>40</v>
      </c>
      <c r="F66" s="25">
        <v>12</v>
      </c>
      <c r="G66" s="26">
        <v>14.175</v>
      </c>
      <c r="H66" s="26">
        <v>24.229</v>
      </c>
      <c r="I66" s="62">
        <v>0</v>
      </c>
      <c r="J66" s="26">
        <f aca="true" t="shared" si="16" ref="J66:J84">SUM(G66+H66)</f>
        <v>38.403999999999996</v>
      </c>
      <c r="K66" s="65">
        <f>33001.92/10000</f>
        <v>3.300192</v>
      </c>
      <c r="L66" s="65">
        <f>16500.96/10000</f>
        <v>1.650096</v>
      </c>
      <c r="M66" s="65">
        <f>1031.34/10000</f>
        <v>0.10313399999999999</v>
      </c>
      <c r="N66" s="65">
        <f>206.28/10000</f>
        <v>0.020628</v>
      </c>
      <c r="O66" s="65">
        <f>1031.34/10000</f>
        <v>0.10313399999999999</v>
      </c>
      <c r="P66" s="69">
        <v>0</v>
      </c>
      <c r="Q66" s="85">
        <f>25914/10000</f>
        <v>2.5914</v>
      </c>
      <c r="R66" s="69">
        <v>0</v>
      </c>
      <c r="S66" s="69">
        <f aca="true" t="shared" si="17" ref="S66:S84">SUM(K66:R66)</f>
        <v>7.768584000000001</v>
      </c>
    </row>
    <row r="67" spans="1:19" ht="36.75" customHeight="1">
      <c r="A67" s="7">
        <v>63</v>
      </c>
      <c r="B67" s="27"/>
      <c r="C67" s="23" t="s">
        <v>139</v>
      </c>
      <c r="D67" s="23" t="s">
        <v>140</v>
      </c>
      <c r="E67" s="24" t="s">
        <v>40</v>
      </c>
      <c r="F67" s="25">
        <v>12</v>
      </c>
      <c r="G67" s="26">
        <v>14.175</v>
      </c>
      <c r="H67" s="26">
        <v>24.229</v>
      </c>
      <c r="I67" s="62">
        <v>0</v>
      </c>
      <c r="J67" s="26">
        <f t="shared" si="16"/>
        <v>38.403999999999996</v>
      </c>
      <c r="K67" s="65">
        <f>33001.92/10000</f>
        <v>3.300192</v>
      </c>
      <c r="L67" s="65">
        <f>16500.96/10000</f>
        <v>1.650096</v>
      </c>
      <c r="M67" s="65">
        <f>1031.34/10000</f>
        <v>0.10313399999999999</v>
      </c>
      <c r="N67" s="65">
        <f>206.28/10000</f>
        <v>0.020628</v>
      </c>
      <c r="O67" s="65">
        <f>1031.34/10000</f>
        <v>0.10313399999999999</v>
      </c>
      <c r="P67" s="69">
        <v>0</v>
      </c>
      <c r="Q67" s="85">
        <f>25914/10000</f>
        <v>2.5914</v>
      </c>
      <c r="R67" s="69">
        <v>0</v>
      </c>
      <c r="S67" s="69">
        <f t="shared" si="17"/>
        <v>7.768584000000001</v>
      </c>
    </row>
    <row r="68" spans="1:19" ht="36.75" customHeight="1">
      <c r="A68" s="7">
        <v>64</v>
      </c>
      <c r="B68" s="27"/>
      <c r="C68" s="28" t="s">
        <v>141</v>
      </c>
      <c r="D68" s="28" t="s">
        <v>57</v>
      </c>
      <c r="E68" s="24" t="s">
        <v>40</v>
      </c>
      <c r="F68" s="25">
        <v>12</v>
      </c>
      <c r="G68" s="26">
        <v>12.4301</v>
      </c>
      <c r="H68" s="26">
        <v>21.243</v>
      </c>
      <c r="I68" s="62">
        <v>0</v>
      </c>
      <c r="J68" s="26">
        <f t="shared" si="16"/>
        <v>33.6731</v>
      </c>
      <c r="K68" s="65">
        <f>33001.92/10000</f>
        <v>3.300192</v>
      </c>
      <c r="L68" s="65">
        <f>16500.96/10000</f>
        <v>1.650096</v>
      </c>
      <c r="M68" s="65">
        <f>1031.34/10000</f>
        <v>0.10313399999999999</v>
      </c>
      <c r="N68" s="65">
        <f>206.28/10000</f>
        <v>0.020628</v>
      </c>
      <c r="O68" s="65">
        <f>1031.34/10000</f>
        <v>0.10313399999999999</v>
      </c>
      <c r="P68" s="69">
        <v>0</v>
      </c>
      <c r="Q68" s="85">
        <f>25206/10000</f>
        <v>2.5206</v>
      </c>
      <c r="R68" s="69">
        <v>0</v>
      </c>
      <c r="S68" s="69">
        <f t="shared" si="17"/>
        <v>7.697784</v>
      </c>
    </row>
    <row r="69" spans="1:19" ht="36.75" customHeight="1">
      <c r="A69" s="7">
        <v>65</v>
      </c>
      <c r="B69" s="27"/>
      <c r="C69" s="28" t="s">
        <v>142</v>
      </c>
      <c r="D69" s="28" t="s">
        <v>143</v>
      </c>
      <c r="E69" s="24" t="s">
        <v>40</v>
      </c>
      <c r="F69" s="25">
        <v>12</v>
      </c>
      <c r="G69" s="26">
        <v>12.4633</v>
      </c>
      <c r="H69" s="26">
        <v>21.2998</v>
      </c>
      <c r="I69" s="62">
        <v>0</v>
      </c>
      <c r="J69" s="26">
        <f t="shared" si="16"/>
        <v>33.7631</v>
      </c>
      <c r="K69" s="65">
        <f>33001.92/10000</f>
        <v>3.300192</v>
      </c>
      <c r="L69" s="65">
        <f>16500.96/10000</f>
        <v>1.650096</v>
      </c>
      <c r="M69" s="65">
        <f>1031.34/10000</f>
        <v>0.10313399999999999</v>
      </c>
      <c r="N69" s="65">
        <f>206.28/10000</f>
        <v>0.020628</v>
      </c>
      <c r="O69" s="65">
        <f>1031.34/10000</f>
        <v>0.10313399999999999</v>
      </c>
      <c r="P69" s="69">
        <v>0</v>
      </c>
      <c r="Q69" s="85">
        <f>25206/10000</f>
        <v>2.5206</v>
      </c>
      <c r="R69" s="69">
        <v>0</v>
      </c>
      <c r="S69" s="69">
        <f t="shared" si="17"/>
        <v>7.697784</v>
      </c>
    </row>
    <row r="70" spans="1:19" ht="36.75" customHeight="1">
      <c r="A70" s="7">
        <v>66</v>
      </c>
      <c r="B70" s="27"/>
      <c r="C70" s="28" t="s">
        <v>144</v>
      </c>
      <c r="D70" s="28" t="s">
        <v>145</v>
      </c>
      <c r="E70" s="24" t="s">
        <v>40</v>
      </c>
      <c r="F70" s="25">
        <v>12</v>
      </c>
      <c r="G70" s="26">
        <v>12.4836</v>
      </c>
      <c r="H70" s="26">
        <v>21.3345</v>
      </c>
      <c r="I70" s="62">
        <v>0</v>
      </c>
      <c r="J70" s="26">
        <f t="shared" si="16"/>
        <v>33.8181</v>
      </c>
      <c r="K70" s="65">
        <f>32640/10000</f>
        <v>3.264</v>
      </c>
      <c r="L70" s="65">
        <f>16320/10000</f>
        <v>1.632</v>
      </c>
      <c r="M70" s="65">
        <f>1020/10000</f>
        <v>0.102</v>
      </c>
      <c r="N70" s="65">
        <f>204/10000</f>
        <v>0.0204</v>
      </c>
      <c r="O70" s="65">
        <f>1020/10000</f>
        <v>0.102</v>
      </c>
      <c r="P70" s="69">
        <v>0</v>
      </c>
      <c r="Q70" s="85">
        <f>24480/10000</f>
        <v>2.448</v>
      </c>
      <c r="R70" s="69">
        <v>0</v>
      </c>
      <c r="S70" s="69">
        <f t="shared" si="17"/>
        <v>7.5684000000000005</v>
      </c>
    </row>
    <row r="71" spans="1:19" ht="36.75" customHeight="1">
      <c r="A71" s="7">
        <v>67</v>
      </c>
      <c r="B71" s="27"/>
      <c r="C71" s="29" t="s">
        <v>146</v>
      </c>
      <c r="D71" s="29" t="s">
        <v>35</v>
      </c>
      <c r="E71" s="24" t="s">
        <v>40</v>
      </c>
      <c r="F71" s="25">
        <v>12</v>
      </c>
      <c r="G71" s="26">
        <v>12.4625</v>
      </c>
      <c r="H71" s="26">
        <v>21.2984</v>
      </c>
      <c r="I71" s="62">
        <v>0</v>
      </c>
      <c r="J71" s="26">
        <f t="shared" si="16"/>
        <v>33.7609</v>
      </c>
      <c r="K71" s="65">
        <f>30720/10000</f>
        <v>3.072</v>
      </c>
      <c r="L71" s="65">
        <f>15360/10000</f>
        <v>1.536</v>
      </c>
      <c r="M71" s="65">
        <f>960/10000</f>
        <v>0.096</v>
      </c>
      <c r="N71" s="65">
        <f>192/10000</f>
        <v>0.0192</v>
      </c>
      <c r="O71" s="65">
        <f>960/10000</f>
        <v>0.096</v>
      </c>
      <c r="P71" s="69">
        <v>0</v>
      </c>
      <c r="Q71" s="85">
        <f>23040/10000</f>
        <v>2.304</v>
      </c>
      <c r="R71" s="69">
        <v>0</v>
      </c>
      <c r="S71" s="69">
        <f t="shared" si="17"/>
        <v>7.123200000000001</v>
      </c>
    </row>
    <row r="72" spans="1:19" ht="36.75" customHeight="1">
      <c r="A72" s="7">
        <v>68</v>
      </c>
      <c r="B72" s="22" t="s">
        <v>147</v>
      </c>
      <c r="C72" s="23" t="s">
        <v>148</v>
      </c>
      <c r="D72" s="23" t="s">
        <v>85</v>
      </c>
      <c r="E72" s="24" t="s">
        <v>40</v>
      </c>
      <c r="F72" s="25">
        <v>12</v>
      </c>
      <c r="G72" s="26">
        <v>12.6</v>
      </c>
      <c r="H72" s="26">
        <v>17.3</v>
      </c>
      <c r="I72" s="62">
        <v>0</v>
      </c>
      <c r="J72" s="26">
        <f t="shared" si="16"/>
        <v>29.9</v>
      </c>
      <c r="K72" s="65">
        <v>3.03</v>
      </c>
      <c r="L72" s="65">
        <v>1.45</v>
      </c>
      <c r="M72" s="65">
        <v>0.089</v>
      </c>
      <c r="N72" s="65">
        <v>0.0356</v>
      </c>
      <c r="O72" s="65">
        <v>0.0667</v>
      </c>
      <c r="P72" s="69">
        <v>0</v>
      </c>
      <c r="Q72" s="79">
        <v>2.45</v>
      </c>
      <c r="R72" s="69">
        <v>0</v>
      </c>
      <c r="S72" s="69">
        <f t="shared" si="17"/>
        <v>7.1213</v>
      </c>
    </row>
    <row r="73" spans="1:19" ht="36.75" customHeight="1">
      <c r="A73" s="7">
        <v>69</v>
      </c>
      <c r="B73" s="27"/>
      <c r="C73" s="28" t="s">
        <v>149</v>
      </c>
      <c r="D73" s="28" t="s">
        <v>44</v>
      </c>
      <c r="E73" s="24" t="s">
        <v>40</v>
      </c>
      <c r="F73" s="25">
        <v>12</v>
      </c>
      <c r="G73" s="26">
        <v>10.818421955403087</v>
      </c>
      <c r="H73" s="26">
        <v>14.87</v>
      </c>
      <c r="I73" s="62">
        <v>0</v>
      </c>
      <c r="J73" s="26">
        <f t="shared" si="16"/>
        <v>25.688421955403086</v>
      </c>
      <c r="K73" s="65">
        <v>2.72</v>
      </c>
      <c r="L73" s="65">
        <v>1.3</v>
      </c>
      <c r="M73" s="65">
        <v>0.0801</v>
      </c>
      <c r="N73" s="65">
        <v>0.032</v>
      </c>
      <c r="O73" s="65">
        <v>0.0601</v>
      </c>
      <c r="P73" s="69">
        <v>0</v>
      </c>
      <c r="Q73" s="79">
        <v>2.45</v>
      </c>
      <c r="R73" s="69">
        <v>0</v>
      </c>
      <c r="S73" s="69">
        <f t="shared" si="17"/>
        <v>6.642200000000001</v>
      </c>
    </row>
    <row r="74" spans="1:19" ht="36.75" customHeight="1">
      <c r="A74" s="7">
        <v>70</v>
      </c>
      <c r="B74" s="27"/>
      <c r="C74" s="83" t="s">
        <v>150</v>
      </c>
      <c r="D74" s="83" t="s">
        <v>35</v>
      </c>
      <c r="E74" s="24" t="s">
        <v>40</v>
      </c>
      <c r="F74" s="25">
        <v>12</v>
      </c>
      <c r="G74" s="26">
        <v>10.855883361921096</v>
      </c>
      <c r="H74" s="26">
        <v>14.92</v>
      </c>
      <c r="I74" s="62">
        <v>0</v>
      </c>
      <c r="J74" s="26">
        <f t="shared" si="16"/>
        <v>25.775883361921096</v>
      </c>
      <c r="K74" s="65">
        <v>2.47</v>
      </c>
      <c r="L74" s="65">
        <v>1.18</v>
      </c>
      <c r="M74" s="65">
        <v>0.0727</v>
      </c>
      <c r="N74" s="65">
        <v>0.029</v>
      </c>
      <c r="O74" s="65">
        <v>0.0545</v>
      </c>
      <c r="P74" s="69">
        <v>0</v>
      </c>
      <c r="Q74" s="79">
        <v>2.45</v>
      </c>
      <c r="R74" s="69">
        <v>0</v>
      </c>
      <c r="S74" s="69">
        <f t="shared" si="17"/>
        <v>6.256200000000001</v>
      </c>
    </row>
    <row r="75" spans="1:19" ht="36.75" customHeight="1">
      <c r="A75" s="7">
        <v>71</v>
      </c>
      <c r="B75" s="36" t="s">
        <v>151</v>
      </c>
      <c r="C75" s="23" t="s">
        <v>152</v>
      </c>
      <c r="D75" s="23" t="s">
        <v>153</v>
      </c>
      <c r="E75" s="24" t="s">
        <v>40</v>
      </c>
      <c r="F75" s="25">
        <v>12</v>
      </c>
      <c r="G75" s="26">
        <f>14.175*1</f>
        <v>14.175</v>
      </c>
      <c r="H75" s="26">
        <v>23.958</v>
      </c>
      <c r="I75" s="62">
        <v>0</v>
      </c>
      <c r="J75" s="26">
        <f t="shared" si="16"/>
        <v>38.132999999999996</v>
      </c>
      <c r="K75" s="65">
        <v>3.5074</v>
      </c>
      <c r="L75" s="65">
        <v>1.6758</v>
      </c>
      <c r="M75" s="65">
        <v>0.1031</v>
      </c>
      <c r="N75" s="65">
        <v>0.0413</v>
      </c>
      <c r="O75" s="65">
        <v>0.0775</v>
      </c>
      <c r="P75" s="69">
        <v>0</v>
      </c>
      <c r="Q75" s="79">
        <v>2.5914</v>
      </c>
      <c r="R75" s="69">
        <v>0</v>
      </c>
      <c r="S75" s="69">
        <f t="shared" si="17"/>
        <v>7.9965</v>
      </c>
    </row>
    <row r="76" spans="1:19" ht="36.75" customHeight="1">
      <c r="A76" s="7">
        <v>72</v>
      </c>
      <c r="B76" s="36"/>
      <c r="C76" s="23" t="s">
        <v>154</v>
      </c>
      <c r="D76" s="23" t="s">
        <v>155</v>
      </c>
      <c r="E76" s="24" t="s">
        <v>40</v>
      </c>
      <c r="F76" s="25">
        <v>12</v>
      </c>
      <c r="G76" s="26">
        <f>14.175*1</f>
        <v>14.175</v>
      </c>
      <c r="H76" s="26">
        <v>23.958</v>
      </c>
      <c r="I76" s="62">
        <v>0</v>
      </c>
      <c r="J76" s="26">
        <f t="shared" si="16"/>
        <v>38.132999999999996</v>
      </c>
      <c r="K76" s="65">
        <v>3.5074</v>
      </c>
      <c r="L76" s="65">
        <v>1.6758</v>
      </c>
      <c r="M76" s="65">
        <v>0.1031</v>
      </c>
      <c r="N76" s="65">
        <v>0.0413</v>
      </c>
      <c r="O76" s="65">
        <v>0.0775</v>
      </c>
      <c r="P76" s="69">
        <v>0</v>
      </c>
      <c r="Q76" s="79">
        <v>2.5914</v>
      </c>
      <c r="R76" s="69">
        <v>0</v>
      </c>
      <c r="S76" s="69">
        <f t="shared" si="17"/>
        <v>7.9965</v>
      </c>
    </row>
    <row r="77" spans="1:19" ht="36.75" customHeight="1">
      <c r="A77" s="7">
        <v>73</v>
      </c>
      <c r="B77" s="36"/>
      <c r="C77" s="28" t="s">
        <v>156</v>
      </c>
      <c r="D77" s="28" t="s">
        <v>157</v>
      </c>
      <c r="E77" s="24" t="s">
        <v>40</v>
      </c>
      <c r="F77" s="25">
        <v>12</v>
      </c>
      <c r="G77" s="26">
        <f>14.175*0.871</f>
        <v>12.346425</v>
      </c>
      <c r="H77" s="26">
        <f>23.958*0.871</f>
        <v>20.867417999999997</v>
      </c>
      <c r="I77" s="62">
        <v>0</v>
      </c>
      <c r="J77" s="26">
        <f t="shared" si="16"/>
        <v>33.213843</v>
      </c>
      <c r="K77" s="65">
        <v>3.5074</v>
      </c>
      <c r="L77" s="65">
        <v>1.6758</v>
      </c>
      <c r="M77" s="65">
        <v>0.1031</v>
      </c>
      <c r="N77" s="65">
        <v>0.0413</v>
      </c>
      <c r="O77" s="65">
        <v>0.0775</v>
      </c>
      <c r="P77" s="69">
        <v>0</v>
      </c>
      <c r="Q77" s="79">
        <v>2.5914</v>
      </c>
      <c r="R77" s="69">
        <v>0</v>
      </c>
      <c r="S77" s="69">
        <f t="shared" si="17"/>
        <v>7.9965</v>
      </c>
    </row>
    <row r="78" spans="1:19" ht="36.75" customHeight="1">
      <c r="A78" s="7">
        <v>74</v>
      </c>
      <c r="B78" s="36"/>
      <c r="C78" s="28" t="s">
        <v>158</v>
      </c>
      <c r="D78" s="28" t="s">
        <v>159</v>
      </c>
      <c r="E78" s="24" t="s">
        <v>160</v>
      </c>
      <c r="F78" s="25">
        <v>8</v>
      </c>
      <c r="G78" s="26">
        <f>14.175/12*8*0.872</f>
        <v>8.240400000000001</v>
      </c>
      <c r="H78" s="26">
        <f>23.958/12*8*0.872</f>
        <v>13.927584</v>
      </c>
      <c r="I78" s="62">
        <v>0</v>
      </c>
      <c r="J78" s="26">
        <f t="shared" si="16"/>
        <v>22.167984</v>
      </c>
      <c r="K78" s="65">
        <v>1.233</v>
      </c>
      <c r="L78" s="65">
        <v>0.631</v>
      </c>
      <c r="M78" s="65">
        <v>0.0385</v>
      </c>
      <c r="N78" s="65">
        <v>0.0154</v>
      </c>
      <c r="O78" s="65">
        <v>0.0241</v>
      </c>
      <c r="P78" s="69">
        <v>0</v>
      </c>
      <c r="Q78" s="79">
        <v>0.9248</v>
      </c>
      <c r="R78" s="69">
        <v>0</v>
      </c>
      <c r="S78" s="69">
        <f t="shared" si="17"/>
        <v>2.8668</v>
      </c>
    </row>
    <row r="79" spans="1:19" ht="36.75" customHeight="1">
      <c r="A79" s="7">
        <v>75</v>
      </c>
      <c r="B79" s="36"/>
      <c r="C79" s="28" t="s">
        <v>161</v>
      </c>
      <c r="D79" s="28" t="s">
        <v>35</v>
      </c>
      <c r="E79" s="24" t="s">
        <v>40</v>
      </c>
      <c r="F79" s="25">
        <v>12</v>
      </c>
      <c r="G79" s="26">
        <f>14.175*0.9</f>
        <v>12.7575</v>
      </c>
      <c r="H79" s="26">
        <f>23.958*0.9</f>
        <v>21.5622</v>
      </c>
      <c r="I79" s="62">
        <v>0</v>
      </c>
      <c r="J79" s="26">
        <f t="shared" si="16"/>
        <v>34.3197</v>
      </c>
      <c r="K79" s="65">
        <v>2.7724</v>
      </c>
      <c r="L79" s="65">
        <v>1.325</v>
      </c>
      <c r="M79" s="65">
        <v>0.0815</v>
      </c>
      <c r="N79" s="65">
        <v>0.0326</v>
      </c>
      <c r="O79" s="65">
        <v>0.0612</v>
      </c>
      <c r="P79" s="69">
        <v>0</v>
      </c>
      <c r="Q79" s="79">
        <v>1.9572</v>
      </c>
      <c r="R79" s="69">
        <v>0</v>
      </c>
      <c r="S79" s="69">
        <f t="shared" si="17"/>
        <v>6.2299000000000015</v>
      </c>
    </row>
    <row r="80" spans="1:19" ht="36.75" customHeight="1">
      <c r="A80" s="7">
        <v>76</v>
      </c>
      <c r="B80" s="36" t="s">
        <v>162</v>
      </c>
      <c r="C80" s="23" t="s">
        <v>163</v>
      </c>
      <c r="D80" s="23" t="s">
        <v>164</v>
      </c>
      <c r="E80" s="24" t="s">
        <v>40</v>
      </c>
      <c r="F80" s="25">
        <v>12</v>
      </c>
      <c r="G80" s="26">
        <v>14.175</v>
      </c>
      <c r="H80" s="26">
        <v>17.539</v>
      </c>
      <c r="I80" s="62">
        <v>0</v>
      </c>
      <c r="J80" s="26">
        <f t="shared" si="16"/>
        <v>31.714000000000002</v>
      </c>
      <c r="K80" s="65">
        <v>3.507</v>
      </c>
      <c r="L80" s="65">
        <v>1.667</v>
      </c>
      <c r="M80" s="65">
        <v>0.103</v>
      </c>
      <c r="N80" s="65">
        <v>0.041</v>
      </c>
      <c r="O80" s="65">
        <v>0.086</v>
      </c>
      <c r="P80" s="69">
        <v>0</v>
      </c>
      <c r="Q80" s="79">
        <v>2.591</v>
      </c>
      <c r="R80" s="69">
        <v>0</v>
      </c>
      <c r="S80" s="69">
        <f t="shared" si="17"/>
        <v>7.995000000000001</v>
      </c>
    </row>
    <row r="81" spans="1:19" ht="36.75" customHeight="1">
      <c r="A81" s="7">
        <v>77</v>
      </c>
      <c r="B81" s="36"/>
      <c r="C81" s="28" t="s">
        <v>165</v>
      </c>
      <c r="D81" s="28" t="s">
        <v>157</v>
      </c>
      <c r="E81" s="24" t="s">
        <v>40</v>
      </c>
      <c r="F81" s="25">
        <v>12</v>
      </c>
      <c r="G81" s="26">
        <v>11.822</v>
      </c>
      <c r="H81" s="26">
        <v>14.628</v>
      </c>
      <c r="I81" s="62">
        <v>0</v>
      </c>
      <c r="J81" s="26">
        <f t="shared" si="16"/>
        <v>26.45</v>
      </c>
      <c r="K81" s="65">
        <v>3.507</v>
      </c>
      <c r="L81" s="65">
        <v>1.667</v>
      </c>
      <c r="M81" s="65">
        <v>0.103</v>
      </c>
      <c r="N81" s="65">
        <v>0.041</v>
      </c>
      <c r="O81" s="65">
        <v>0.086</v>
      </c>
      <c r="P81" s="69">
        <v>0</v>
      </c>
      <c r="Q81" s="79">
        <v>2.591</v>
      </c>
      <c r="R81" s="69">
        <v>0</v>
      </c>
      <c r="S81" s="69">
        <f t="shared" si="17"/>
        <v>7.995000000000001</v>
      </c>
    </row>
    <row r="82" spans="1:19" ht="36.75" customHeight="1">
      <c r="A82" s="7">
        <v>78</v>
      </c>
      <c r="B82" s="36"/>
      <c r="C82" s="28" t="s">
        <v>166</v>
      </c>
      <c r="D82" s="28" t="s">
        <v>35</v>
      </c>
      <c r="E82" s="24" t="s">
        <v>40</v>
      </c>
      <c r="F82" s="25">
        <v>12</v>
      </c>
      <c r="G82" s="26">
        <v>11.567</v>
      </c>
      <c r="H82" s="26">
        <v>14.312</v>
      </c>
      <c r="I82" s="62">
        <v>0</v>
      </c>
      <c r="J82" s="26">
        <f t="shared" si="16"/>
        <v>25.878999999999998</v>
      </c>
      <c r="K82" s="65">
        <v>3.507</v>
      </c>
      <c r="L82" s="65">
        <v>1.667</v>
      </c>
      <c r="M82" s="65">
        <v>0.103</v>
      </c>
      <c r="N82" s="65">
        <v>0.041</v>
      </c>
      <c r="O82" s="65">
        <v>0.086</v>
      </c>
      <c r="P82" s="69">
        <v>0</v>
      </c>
      <c r="Q82" s="79">
        <v>2.591</v>
      </c>
      <c r="R82" s="69">
        <v>0</v>
      </c>
      <c r="S82" s="69">
        <f t="shared" si="17"/>
        <v>7.995000000000001</v>
      </c>
    </row>
    <row r="83" spans="1:19" ht="36.75" customHeight="1">
      <c r="A83" s="7">
        <v>79</v>
      </c>
      <c r="B83" s="36"/>
      <c r="C83" s="28" t="s">
        <v>167</v>
      </c>
      <c r="D83" s="28" t="s">
        <v>168</v>
      </c>
      <c r="E83" s="24" t="s">
        <v>40</v>
      </c>
      <c r="F83" s="25">
        <v>12</v>
      </c>
      <c r="G83" s="26">
        <v>11.34</v>
      </c>
      <c r="H83" s="26">
        <v>8.77</v>
      </c>
      <c r="I83" s="62">
        <v>0</v>
      </c>
      <c r="J83" s="26">
        <f t="shared" si="16"/>
        <v>20.11</v>
      </c>
      <c r="K83" s="65">
        <v>3.507</v>
      </c>
      <c r="L83" s="65">
        <v>1.667</v>
      </c>
      <c r="M83" s="65">
        <v>0.103</v>
      </c>
      <c r="N83" s="65">
        <v>0.041</v>
      </c>
      <c r="O83" s="65">
        <v>0.086</v>
      </c>
      <c r="P83" s="69">
        <v>0</v>
      </c>
      <c r="Q83" s="79">
        <v>2.591</v>
      </c>
      <c r="R83" s="69">
        <v>0</v>
      </c>
      <c r="S83" s="69">
        <f t="shared" si="17"/>
        <v>7.995000000000001</v>
      </c>
    </row>
    <row r="84" spans="1:19" ht="36.75" customHeight="1">
      <c r="A84" s="7">
        <v>80</v>
      </c>
      <c r="B84" s="36"/>
      <c r="C84" s="28" t="s">
        <v>169</v>
      </c>
      <c r="D84" s="28" t="s">
        <v>35</v>
      </c>
      <c r="E84" s="24" t="s">
        <v>170</v>
      </c>
      <c r="F84" s="25">
        <v>10</v>
      </c>
      <c r="G84" s="26">
        <v>9.674</v>
      </c>
      <c r="H84" s="26">
        <v>11.97</v>
      </c>
      <c r="I84" s="62">
        <v>0</v>
      </c>
      <c r="J84" s="26">
        <f t="shared" si="16"/>
        <v>21.644</v>
      </c>
      <c r="K84" s="68">
        <v>2.414</v>
      </c>
      <c r="L84" s="68">
        <v>1.1478</v>
      </c>
      <c r="M84" s="65">
        <v>0.071</v>
      </c>
      <c r="N84" s="65">
        <v>0.028</v>
      </c>
      <c r="O84" s="65">
        <v>0.059</v>
      </c>
      <c r="P84" s="69">
        <v>0</v>
      </c>
      <c r="Q84" s="86">
        <v>1.704</v>
      </c>
      <c r="R84" s="69">
        <v>0</v>
      </c>
      <c r="S84" s="69">
        <f t="shared" si="17"/>
        <v>5.4238</v>
      </c>
    </row>
    <row r="85" spans="1:19" ht="48.75" customHeight="1">
      <c r="A85" s="84" t="s">
        <v>171</v>
      </c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</row>
  </sheetData>
  <sheetProtection/>
  <mergeCells count="29">
    <mergeCell ref="A1:S1"/>
    <mergeCell ref="A2:G2"/>
    <mergeCell ref="J2:L2"/>
    <mergeCell ref="Q2:R2"/>
    <mergeCell ref="A85:S85"/>
    <mergeCell ref="A46:A47"/>
    <mergeCell ref="B4:B10"/>
    <mergeCell ref="B11:B18"/>
    <mergeCell ref="B19:B24"/>
    <mergeCell ref="B25:B29"/>
    <mergeCell ref="B30:B35"/>
    <mergeCell ref="B36:B39"/>
    <mergeCell ref="B41:B44"/>
    <mergeCell ref="B45:B49"/>
    <mergeCell ref="B50:B57"/>
    <mergeCell ref="B58:B65"/>
    <mergeCell ref="B66:B71"/>
    <mergeCell ref="B72:B74"/>
    <mergeCell ref="B75:B79"/>
    <mergeCell ref="B80:B84"/>
    <mergeCell ref="C46:C47"/>
    <mergeCell ref="J46:J47"/>
    <mergeCell ref="K46:K47"/>
    <mergeCell ref="L46:L47"/>
    <mergeCell ref="M46:M47"/>
    <mergeCell ref="N46:N47"/>
    <mergeCell ref="O46:O47"/>
    <mergeCell ref="Q46:Q47"/>
    <mergeCell ref="S46:S47"/>
  </mergeCells>
  <printOptions/>
  <pageMargins left="0.5118055555555555" right="0.3972222222222222" top="0.5902777777777778" bottom="0.39305555555555555" header="0.4284722222222222" footer="0.11805555555555555"/>
  <pageSetup fitToHeight="0" fitToWidth="1" horizontalDpi="1200" verticalDpi="1200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6" sqref="K26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未定义</dc:creator>
  <cp:keywords/>
  <dc:description/>
  <cp:lastModifiedBy>meet</cp:lastModifiedBy>
  <cp:lastPrinted>2018-12-25T16:08:41Z</cp:lastPrinted>
  <dcterms:created xsi:type="dcterms:W3CDTF">2018-02-12T15:47:47Z</dcterms:created>
  <dcterms:modified xsi:type="dcterms:W3CDTF">2023-04-02T02:45:17Z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2052-11.1.0.12970</vt:lpwstr>
  </property>
  <property fmtid="{D5CDD505-2E9C-101B-9397-08002B2CF9AE}" pid="4" name="I">
    <vt:lpwstr>9AA9420FD5FA483E8E7D6A105B4A1EFE</vt:lpwstr>
  </property>
</Properties>
</file>